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18.xml" ContentType="application/vnd.openxmlformats-officedocument.spreadsheetml.queryTable+xml"/>
  <Override PartName="/xl/queryTables/queryTable23.xml" ContentType="application/vnd.openxmlformats-officedocument.spreadsheetml.query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queryTables/queryTable16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queryTables/queryTable14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  <Override PartName="/xl/queryTables/queryTable10.xml" ContentType="application/vnd.openxmlformats-officedocument.spreadsheetml.queryTable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queryTables/queryTable2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4.xml" ContentType="application/vnd.openxmlformats-officedocument.spreadsheetml.queryTable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queryTables/queryTable17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9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5.xml" ContentType="application/vnd.openxmlformats-officedocument.spreadsheetml.queryTabl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queryTables/queryTable7.xml" ContentType="application/vnd.openxmlformats-officedocument.spreadsheetml.queryTable+xml"/>
  <Override PartName="/xl/theme/theme1.xml" ContentType="application/vnd.openxmlformats-officedocument.theme+xml"/>
  <Override PartName="/xl/queryTables/queryTable20.xml" ContentType="application/vnd.openxmlformats-officedocument.spreadsheetml.queryTable+xml"/>
  <Default Extension="vml" ContentType="application/vnd.openxmlformats-officedocument.vmlDrawing"/>
  <Override PartName="/xl/sharedStrings.xml" ContentType="application/vnd.openxmlformats-officedocument.spreadsheetml.sharedStrings+xml"/>
  <Override PartName="/xl/queryTables/queryTable13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11.xml" ContentType="application/vnd.openxmlformats-officedocument.spreadsheetml.queryTable+xml"/>
  <Override PartName="/xl/workbook.xml" ContentType="application/vnd.openxmlformats-officedocument.spreadsheetml.sheet.main+xml"/>
  <Override PartName="/xl/queryTables/queryTable3.xml" ContentType="application/vnd.openxmlformats-officedocument.spreadsheetml.queryTable+xml"/>
  <Override PartName="/xl/queryTables/queryTable25.xml" ContentType="application/vnd.openxmlformats-officedocument.spreadsheetml.queryTable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autoCompressPictures="0"/>
  <bookViews>
    <workbookView xWindow="-20" yWindow="-20" windowWidth="24320" windowHeight="16460" tabRatio="636" activeTab="3"/>
  </bookViews>
  <sheets>
    <sheet name="BLLM" sheetId="1" r:id="rId1"/>
    <sheet name="BearDist" sheetId="5" r:id="rId2"/>
    <sheet name="PTMCoor" sheetId="6" r:id="rId3"/>
    <sheet name="AdjoiningLots" sheetId="7" r:id="rId4"/>
  </sheets>
  <definedNames>
    <definedName name="_xlnm._FilterDatabase" localSheetId="3" hidden="1">AdjoiningLots!$A$1:$Q$3</definedName>
    <definedName name="_xlnm._FilterDatabase" localSheetId="2" hidden="1">PTMCoor!$A$8:$T$26</definedName>
    <definedName name="Aguinaldo_1" localSheetId="2">PTMCoor!$A$1:$G$25</definedName>
    <definedName name="Aguinaldo_2" localSheetId="2">PTMCoor!$A$1:$G$25</definedName>
    <definedName name="Burgos_1" localSheetId="2">PTMCoor!$A$1:$H$25</definedName>
    <definedName name="Burgos_2" localSheetId="2">PTMCoor!$A$1:$H$25</definedName>
    <definedName name="Cojuanco_1" localSheetId="2">PTMCoor!$A$1:$F$25</definedName>
    <definedName name="Del_Pilar" localSheetId="2">PTMCoor!$A$1:$G$25</definedName>
    <definedName name="Gregorio_1" localSheetId="2">PTMCoor!$A$1:$G$25</definedName>
    <definedName name="Gregorio_2" localSheetId="2">PTMCoor!$A$1:$G$25</definedName>
    <definedName name="La_Fuente" localSheetId="2">PTMCoor!$A$1:$G$25</definedName>
    <definedName name="La_Fuente_1" localSheetId="2">PTMCoor!$A$1:$G$25</definedName>
    <definedName name="Mabini_1" localSheetId="2">PTMCoor!$A$1:$H$25</definedName>
    <definedName name="Mabini_2" localSheetId="2">PTMCoor!$A$1:$H$25</definedName>
    <definedName name="Maliolio_1" localSheetId="2">PTMCoor!$A$1:$G$25</definedName>
    <definedName name="Maliolio_2" localSheetId="2">PTMCoor!$A$1:$G$25</definedName>
    <definedName name="_xlnm.Print_Area" localSheetId="0">BLLM!#REF!</definedName>
    <definedName name="_xlnm.Print_Area" localSheetId="2">PTMCoor!$B$1:$O$29</definedName>
    <definedName name="San_Mariano" localSheetId="2">PTMCoor!$A$1:$H$25</definedName>
    <definedName name="San_Mariano_1" localSheetId="2">PTMCoor!$A$1:$H$25</definedName>
    <definedName name="Sapsap_1" localSheetId="2">PTMCoor!$A$1:$F$25</definedName>
    <definedName name="Sta_Teresita" localSheetId="2">PTMCoor!$A$1:$H$25</definedName>
    <definedName name="Sta_Teresita_1" localSheetId="2">PTMCoor!$A$1:$H$25</definedName>
    <definedName name="Sto_Rosario" localSheetId="2">PTMCoor!$A$1:$H$25</definedName>
    <definedName name="Sto_Rosario_1" localSheetId="2">PTMCoor!$A$1:$H$25</definedName>
    <definedName name="Tramo_1" localSheetId="2">PTMCoor!$A$1:$G$25</definedName>
    <definedName name="Tramo_2" localSheetId="2">PTMCoor!$A$1:$G$25</definedName>
    <definedName name="Valenzuela_1" localSheetId="2">PTMCoor!$A$1:$H$25</definedName>
    <definedName name="Valenzuela_2" localSheetId="2">PTMCoor!$A$1:$H$25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3" i="7"/>
  <c r="K3"/>
  <c r="I3"/>
  <c r="Q2"/>
  <c r="P2"/>
  <c r="O8" i="5"/>
  <c r="N8"/>
  <c r="Q9"/>
  <c r="I9"/>
  <c r="M9"/>
  <c r="O9"/>
  <c r="Q10"/>
  <c r="I10"/>
  <c r="M10"/>
  <c r="O10"/>
  <c r="Q11"/>
  <c r="I11"/>
  <c r="M11"/>
  <c r="O11"/>
  <c r="Q12"/>
  <c r="I12"/>
  <c r="M12"/>
  <c r="O12"/>
  <c r="Q13"/>
  <c r="I13"/>
  <c r="M13"/>
  <c r="O13"/>
  <c r="Q14"/>
  <c r="I14"/>
  <c r="M14"/>
  <c r="O14"/>
  <c r="Q15"/>
  <c r="I15"/>
  <c r="M15"/>
  <c r="O15"/>
  <c r="F9"/>
  <c r="L9"/>
  <c r="N9"/>
  <c r="F10"/>
  <c r="L10"/>
  <c r="N10"/>
  <c r="F11"/>
  <c r="L11"/>
  <c r="N11"/>
  <c r="F12"/>
  <c r="L12"/>
  <c r="N12"/>
  <c r="F13"/>
  <c r="L13"/>
  <c r="N13"/>
  <c r="F14"/>
  <c r="L14"/>
  <c r="N14"/>
  <c r="F15"/>
  <c r="L15"/>
  <c r="N15"/>
  <c r="R10"/>
  <c r="R11"/>
  <c r="R12"/>
  <c r="R13"/>
  <c r="R14"/>
  <c r="S14"/>
  <c r="R15"/>
  <c r="S15"/>
  <c r="S13"/>
  <c r="S10"/>
  <c r="S11"/>
  <c r="S12"/>
  <c r="E18"/>
  <c r="O2"/>
  <c r="T12"/>
  <c r="T13"/>
  <c r="T14"/>
  <c r="T15"/>
  <c r="U13"/>
  <c r="U9"/>
  <c r="U11"/>
  <c r="U12"/>
  <c r="U14"/>
  <c r="U15"/>
  <c r="U10"/>
  <c r="O5"/>
  <c r="O4"/>
  <c r="T11"/>
  <c r="O18"/>
  <c r="M17"/>
  <c r="L17"/>
  <c r="S16"/>
  <c r="T10"/>
  <c r="T9"/>
  <c r="T8"/>
  <c r="M9" i="6"/>
  <c r="L9"/>
  <c r="T9"/>
  <c r="M10"/>
  <c r="L10"/>
  <c r="J10"/>
  <c r="K10"/>
  <c r="K11"/>
  <c r="R11"/>
  <c r="J11"/>
  <c r="S11"/>
  <c r="K12"/>
  <c r="R12"/>
  <c r="J12"/>
  <c r="S12"/>
  <c r="K13"/>
  <c r="R13"/>
  <c r="J13"/>
  <c r="S13"/>
  <c r="K14"/>
  <c r="R14"/>
  <c r="J14"/>
  <c r="S14"/>
  <c r="K15"/>
  <c r="R15"/>
  <c r="J15"/>
  <c r="S15"/>
  <c r="K16"/>
  <c r="R16"/>
  <c r="J16"/>
  <c r="S16"/>
  <c r="K17"/>
  <c r="R17"/>
  <c r="J17"/>
  <c r="S17"/>
  <c r="K18"/>
  <c r="R18"/>
  <c r="J18"/>
  <c r="S18"/>
  <c r="K19"/>
  <c r="R19"/>
  <c r="J19"/>
  <c r="S19"/>
  <c r="K20"/>
  <c r="R20"/>
  <c r="J20"/>
  <c r="S20"/>
  <c r="K21"/>
  <c r="R21"/>
  <c r="J21"/>
  <c r="S21"/>
  <c r="K22"/>
  <c r="R22"/>
  <c r="J22"/>
  <c r="S22"/>
  <c r="K23"/>
  <c r="R23"/>
  <c r="J23"/>
  <c r="S23"/>
  <c r="K24"/>
  <c r="R24"/>
  <c r="J24"/>
  <c r="S24"/>
  <c r="K25"/>
  <c r="R25"/>
  <c r="J25"/>
  <c r="S25"/>
  <c r="K26"/>
  <c r="R26"/>
  <c r="J26"/>
  <c r="S26"/>
  <c r="F29"/>
  <c r="M3"/>
  <c r="I26"/>
  <c r="Q26"/>
  <c r="I25"/>
  <c r="Q25"/>
  <c r="I24"/>
  <c r="Q24"/>
  <c r="I23"/>
  <c r="Q23"/>
  <c r="I22"/>
  <c r="Q22"/>
  <c r="I21"/>
  <c r="Q21"/>
  <c r="I20"/>
  <c r="Q20"/>
  <c r="I19"/>
  <c r="Q19"/>
  <c r="I18"/>
  <c r="Q18"/>
  <c r="I17"/>
  <c r="Q17"/>
  <c r="I16"/>
  <c r="Q16"/>
  <c r="I15"/>
  <c r="Q15"/>
  <c r="I14"/>
  <c r="Q14"/>
  <c r="I13"/>
  <c r="Q13"/>
  <c r="I12"/>
  <c r="Q12"/>
  <c r="I11"/>
  <c r="Q11"/>
  <c r="I10"/>
  <c r="Q10"/>
  <c r="E11"/>
  <c r="F11"/>
  <c r="G11"/>
  <c r="H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H21"/>
  <c r="E22"/>
  <c r="F22"/>
  <c r="G22"/>
  <c r="H22"/>
  <c r="E23"/>
  <c r="F23"/>
  <c r="G23"/>
  <c r="H23"/>
  <c r="E24"/>
  <c r="F24"/>
  <c r="G24"/>
  <c r="H24"/>
  <c r="E25"/>
  <c r="F25"/>
  <c r="G25"/>
  <c r="H25"/>
  <c r="E26"/>
  <c r="F26"/>
  <c r="G26"/>
  <c r="H26"/>
  <c r="H10"/>
  <c r="F10"/>
  <c r="G10"/>
  <c r="E10"/>
  <c r="B12"/>
  <c r="B13"/>
  <c r="D12"/>
  <c r="D13"/>
  <c r="T13"/>
  <c r="B14"/>
  <c r="D14"/>
  <c r="T14"/>
  <c r="B15"/>
  <c r="D15"/>
  <c r="T15"/>
  <c r="B16"/>
  <c r="D16"/>
  <c r="T16"/>
  <c r="B17"/>
  <c r="D17"/>
  <c r="T17"/>
  <c r="B18"/>
  <c r="D18"/>
  <c r="T18"/>
  <c r="B19"/>
  <c r="D19"/>
  <c r="T19"/>
  <c r="B20"/>
  <c r="D20"/>
  <c r="T20"/>
  <c r="B21"/>
  <c r="D21"/>
  <c r="T21"/>
  <c r="B22"/>
  <c r="D22"/>
  <c r="T22"/>
  <c r="B23"/>
  <c r="D23"/>
  <c r="T23"/>
  <c r="B24"/>
  <c r="D24"/>
  <c r="T24"/>
  <c r="B25"/>
  <c r="D25"/>
  <c r="T25"/>
  <c r="B26"/>
  <c r="T26"/>
  <c r="N10"/>
  <c r="N9"/>
  <c r="A2"/>
  <c r="A1"/>
  <c r="M29"/>
  <c r="K28"/>
  <c r="J28"/>
  <c r="T12"/>
  <c r="T11"/>
  <c r="T10"/>
</calcChain>
</file>

<file path=xl/connections.xml><?xml version="1.0" encoding="utf-8"?>
<connections xmlns="http://schemas.openxmlformats.org/spreadsheetml/2006/main">
  <connection id="1" name="Connection100" type="6" refreshedVersion="0">
    <textPr fileType="mac" sourceFile="Macintosh HD:Users:JDAG:Documents:Lotdata-BBIM-StaRosa:Sto Rosario.txt" delimited="0">
      <textFields count="8">
        <textField/>
        <textField position="12"/>
        <textField position="22"/>
        <textField position="33"/>
        <textField position="35"/>
        <textField position="37"/>
        <textField position="51"/>
        <textField position="54"/>
      </textFields>
    </textPr>
  </connection>
  <connection id="2" name="Connection101" type="6" refreshedVersion="0">
    <textPr fileType="mac" sourceFile="Macintosh HD:Users:JDAG:Documents:Lotdata-BBIM-StaRosa:Malioli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3" name="Connection102" type="6" refreshedVersion="0">
    <textPr fileType="mac" sourceFile="Macintosh HD:Users:JDAG:Documents:Lotdata-BBIM-StaRosa:Malioli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4" name="Connection103" type="6" refreshedVersion="0">
    <textPr fileType="mac" sourceFile="Macintosh HD:Users:JDAG:Documents:Lotdata-BBIM-StaRosa:Del Pilar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5" name="Connection79" type="6" refreshedVersion="0">
    <textPr fileType="mac" sourceFile="Macintosh HD:Users:JDAG:Documents:Lotdata-BBIM-StaRosa:Cojuanco.txt" delimited="0">
      <textFields count="6">
        <textField/>
        <textField position="22"/>
        <textField position="33"/>
        <textField position="37"/>
        <textField position="49"/>
        <textField position="54"/>
      </textFields>
    </textPr>
  </connection>
  <connection id="6" name="Connection80" type="6" refreshedVersion="0">
    <textPr fileType="mac" sourceFile="Macintosh HD:Users:JDAG:Documents:Lotdata-BBIM-StaRosa:Sto Rosario.txt" delimited="0">
      <textFields count="8">
        <textField/>
        <textField position="12"/>
        <textField position="22"/>
        <textField position="33"/>
        <textField position="35"/>
        <textField position="37"/>
        <textField position="51"/>
        <textField position="54"/>
      </textFields>
    </textPr>
  </connection>
  <connection id="7" name="Connection81" type="6" refreshedVersion="0">
    <textPr fileType="mac" sourceFile="Macintosh HD:Users:JDAG:Documents:Lotdata-BBIM-StaRosa:San Mariano.txt" delimited="0">
      <textFields count="8">
        <textField/>
        <textField position="12"/>
        <textField position="18"/>
        <textField position="22"/>
        <textField position="33"/>
        <textField position="37"/>
        <textField position="51"/>
        <textField position="54"/>
      </textFields>
    </textPr>
  </connection>
  <connection id="8" name="Connection82" type="6" refreshedVersion="0">
    <textPr fileType="mac" sourceFile="Macintosh HD:Users:JDAG:Documents:Lotdata-BBIM-StaRosa:Burgos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9" name="Connection83" type="6" refreshedVersion="0">
    <textPr fileType="mac" sourceFile="Macintosh HD:Users:JDAG:Documents:Lotdata-BBIM-StaRosa:La Fuente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10" name="Connection84" type="6" refreshedVersion="0">
    <textPr fileType="mac" sourceFile="Macintosh HD:Users:JDAG:Documents:Lotdata-BBIM-StaRosa:La Fuente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11" name="Connection85" type="6" refreshedVersion="0">
    <textPr fileType="mac" sourceFile="Macintosh HD:Users:JDAG:Documents:Lotdata-BBIM-StaRosa:Tram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12" name="Connection86" type="6" refreshedVersion="0">
    <textPr fileType="mac" sourceFile="Macintosh HD:Users:JDAG:Documents:Lotdata-BBIM-StaRosa:Mabini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3" name="Connection87" type="6" refreshedVersion="0">
    <textPr fileType="mac" sourceFile="Macintosh HD:Users:JDAG:Documents:Lotdata-BBIM-StaRosa:Valenzuela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4" name="Connection88" type="6" refreshedVersion="0">
    <textPr fileType="mac" sourceFile="Macintosh HD:Users:JDAG:Documents:Lotdata-BBIM-StaRosa:Sta Teresita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5" name="Connection89" type="6" refreshedVersion="0">
    <textPr fileType="mac" sourceFile="Macintosh HD:Users:JDAG:Documents:Lotdata-BBIM-StaRosa:Sapsap.txt" delimited="0">
      <textFields count="6">
        <textField/>
        <textField position="22"/>
        <textField position="33"/>
        <textField position="37"/>
        <textField position="49"/>
        <textField position="54"/>
      </textFields>
    </textPr>
  </connection>
  <connection id="16" name="Connection90" type="6" refreshedVersion="0">
    <textPr fileType="mac" sourceFile="Macintosh HD:Users:JDAG:Documents:Lotdata-BBIM-StaRosa:Sta Teresita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7" name="Connection91" type="6" refreshedVersion="0">
    <textPr fileType="mac" sourceFile="Macintosh HD:Users:JDAG:Documents:Lotdata-BBIM-StaRosa:Valenzuela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8" name="Connection92" type="6" refreshedVersion="0">
    <textPr fileType="mac" sourceFile="Macintosh HD:Users:JDAG:Documents:Lotdata-BBIM-StaRosa:Mabini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9" name="Connection93" type="6" refreshedVersion="0">
    <textPr fileType="mac" sourceFile="Macintosh HD:Users:JDAG:Documents:Lotdata-BBIM-StaRosa:Tram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0" name="Connection94" type="6" refreshedVersion="0">
    <textPr fileType="mac" sourceFile="Macintosh HD:Users:JDAG:Documents:Lotdata-BBIM-StaRosa:Gregori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1" name="Connection95" type="6" refreshedVersion="0">
    <textPr fileType="mac" sourceFile="Macintosh HD:Users:JDAG:Documents:Lotdata-BBIM-StaRosa:Aguinald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2" name="Connection96" type="6" refreshedVersion="0">
    <textPr fileType="mac" sourceFile="Macintosh HD:Users:JDAG:Documents:Lotdata-BBIM-StaRosa:Burgos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23" name="Connection97" type="6" refreshedVersion="0">
    <textPr fileType="mac" sourceFile="Macintosh HD:Users:JDAG:Documents:Lotdata-BBIM-StaRosa:Gregori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4" name="Connection98" type="6" refreshedVersion="0">
    <textPr fileType="mac" sourceFile="Macintosh HD:Users:JDAG:Documents:Lotdata-BBIM-StaRosa:Aguinald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5" name="Connection99" type="6" refreshedVersion="0">
    <textPr fileType="mac" sourceFile="Macintosh HD:Users:JDAG:Documents:Lotdata-BBIM-StaRosa:San Mariano.txt" delimited="0">
      <textFields count="8">
        <textField/>
        <textField position="12"/>
        <textField position="18"/>
        <textField position="22"/>
        <textField position="33"/>
        <textField position="37"/>
        <textField position="51"/>
        <textField position="54"/>
      </textFields>
    </textPr>
  </connection>
</connections>
</file>

<file path=xl/sharedStrings.xml><?xml version="1.0" encoding="utf-8"?>
<sst xmlns="http://schemas.openxmlformats.org/spreadsheetml/2006/main" count="182" uniqueCount="111">
  <si>
    <t>Sample City</t>
    <phoneticPr fontId="10" type="noConversion"/>
  </si>
  <si>
    <t xml:space="preserve">       RELATIVE ERROR OF PRECISION:     1:</t>
    <phoneticPr fontId="10" type="noConversion"/>
  </si>
  <si>
    <t>TECHNICAL DESCRIPTION</t>
    <phoneticPr fontId="10" type="noConversion"/>
  </si>
  <si>
    <t>LOT NO.</t>
  </si>
  <si>
    <t>AREA (SQ.M.):</t>
  </si>
  <si>
    <t>OCT / TCT NO:</t>
  </si>
  <si>
    <t>DATE OF ISSUANCE:</t>
  </si>
  <si>
    <t>LOT PLAN NO:</t>
  </si>
  <si>
    <t>N15°13'36.76531"</t>
  </si>
  <si>
    <t>E120°55'48.67278"</t>
  </si>
  <si>
    <t>Easting</t>
  </si>
  <si>
    <t>Northing</t>
  </si>
  <si>
    <t>Elevation</t>
  </si>
  <si>
    <t>Boolean</t>
    <phoneticPr fontId="10" type="noConversion"/>
  </si>
  <si>
    <t>TOF</t>
    <phoneticPr fontId="10" type="noConversion"/>
  </si>
  <si>
    <t>Lookup Formula</t>
    <phoneticPr fontId="10" type="noConversion"/>
  </si>
  <si>
    <t>BBM-17</t>
  </si>
  <si>
    <t>N15°19'07.74326"</t>
  </si>
  <si>
    <t>E120°57'14.98420"</t>
  </si>
  <si>
    <t>3rd</t>
  </si>
  <si>
    <t>BBM</t>
  </si>
  <si>
    <t>495077.690</t>
  </si>
  <si>
    <t>1694078.821</t>
  </si>
  <si>
    <t>21.653</t>
  </si>
  <si>
    <t>True</t>
  </si>
  <si>
    <t>BLLM</t>
  </si>
  <si>
    <t>CALUMPIT CAD-343</t>
  </si>
  <si>
    <t>CALUMPIT, BULACAN</t>
  </si>
  <si>
    <t>BLLM 1</t>
  </si>
  <si>
    <t>14 55 02.587</t>
  </si>
  <si>
    <t>120 46 02.078</t>
  </si>
  <si>
    <t>LOCATION</t>
  </si>
  <si>
    <t>MUNICIPALITY</t>
  </si>
  <si>
    <t>POINT OF</t>
  </si>
  <si>
    <t xml:space="preserve">            GEOGRAPHIC POSITION</t>
  </si>
  <si>
    <t xml:space="preserve">                 PPCS COORDINATES</t>
  </si>
  <si>
    <t xml:space="preserve">      LOCAL COORDINATES</t>
  </si>
  <si>
    <t>REFERENCE</t>
  </si>
  <si>
    <t>LONGITUDE</t>
  </si>
  <si>
    <t>NORTHINGS</t>
  </si>
  <si>
    <t>EASTINGS</t>
  </si>
  <si>
    <t>P.S. C.C.M.</t>
  </si>
  <si>
    <t xml:space="preserve"> </t>
  </si>
  <si>
    <t>AREA :</t>
  </si>
  <si>
    <t>SQ.M.</t>
  </si>
  <si>
    <t xml:space="preserve">       RELATIVE ERROR OF PRECISION:       1:</t>
  </si>
  <si>
    <t>LOT OWNER:</t>
  </si>
  <si>
    <t xml:space="preserve">          OCT / TCT NO:</t>
  </si>
  <si>
    <t>PROVINCE / METRO:</t>
  </si>
  <si>
    <t xml:space="preserve">          DATE OF ISSUANCE:</t>
  </si>
  <si>
    <t>REFERENCE:</t>
  </si>
  <si>
    <t>BLLM#1</t>
  </si>
  <si>
    <t>BL</t>
  </si>
  <si>
    <t>Calumpit</t>
  </si>
  <si>
    <t>Bulacan</t>
  </si>
  <si>
    <t>LOT DATA COMPUTATION SHEET</t>
    <phoneticPr fontId="10" type="noConversion"/>
  </si>
  <si>
    <t>MBMs</t>
    <phoneticPr fontId="10" type="noConversion"/>
  </si>
  <si>
    <t>BLLM</t>
    <phoneticPr fontId="10" type="noConversion"/>
  </si>
  <si>
    <t>Latitude</t>
  </si>
  <si>
    <t>Longitud</t>
  </si>
  <si>
    <t>EllipsHeight</t>
  </si>
  <si>
    <t>Order</t>
  </si>
  <si>
    <t>Type</t>
  </si>
  <si>
    <t>ID</t>
  </si>
  <si>
    <t>N</t>
  </si>
  <si>
    <t>W</t>
  </si>
  <si>
    <t>S</t>
  </si>
  <si>
    <t>DISTANCE</t>
  </si>
  <si>
    <t>LATITUDE</t>
  </si>
  <si>
    <t>DEPARTURE</t>
  </si>
  <si>
    <t>NORTHING</t>
  </si>
  <si>
    <t>EASTING</t>
  </si>
  <si>
    <t>REMARKS</t>
  </si>
  <si>
    <t>-</t>
  </si>
  <si>
    <t>LOT OWNER: City Boundary</t>
    <phoneticPr fontId="10" type="noConversion"/>
  </si>
  <si>
    <t>CAD-225</t>
    <phoneticPr fontId="10" type="noConversion"/>
  </si>
  <si>
    <t>MUNICIPALITY / CITY: Gapan City</t>
    <phoneticPr fontId="10" type="noConversion"/>
  </si>
  <si>
    <t>NEJ-141</t>
    <phoneticPr fontId="10" type="noConversion"/>
  </si>
  <si>
    <t>MBM-1</t>
    <phoneticPr fontId="10" type="noConversion"/>
  </si>
  <si>
    <t>15.187</t>
  </si>
  <si>
    <t>14.121</t>
  </si>
  <si>
    <t>MBM-1</t>
    <phoneticPr fontId="10" type="noConversion"/>
  </si>
  <si>
    <t>False</t>
  </si>
  <si>
    <t>BBM-20</t>
    <phoneticPr fontId="10" type="noConversion"/>
  </si>
  <si>
    <t xml:space="preserve">          LOT NO.</t>
  </si>
  <si>
    <t>BARANGAY / BARRIO:</t>
  </si>
  <si>
    <t xml:space="preserve">          AREA (SQ.M.):</t>
  </si>
  <si>
    <t>MUNICIPALITY / CITY:</t>
  </si>
  <si>
    <t>N</t>
    <phoneticPr fontId="10" type="noConversion"/>
  </si>
  <si>
    <t>E</t>
  </si>
  <si>
    <t>Lot G Block 4</t>
  </si>
  <si>
    <t>Survey No:</t>
  </si>
  <si>
    <t>PCS-03-xxxxxx</t>
  </si>
  <si>
    <t>Survey Date Approved:</t>
  </si>
  <si>
    <t>Title Date Approved</t>
  </si>
  <si>
    <t>to be issued</t>
  </si>
  <si>
    <t>Bagbag (Iba O'Este)</t>
  </si>
  <si>
    <t>NEJ-141</t>
    <phoneticPr fontId="10" type="noConversion"/>
  </si>
  <si>
    <t>TP</t>
    <phoneticPr fontId="10" type="noConversion"/>
  </si>
  <si>
    <t>CAD. .C.M.</t>
    <phoneticPr fontId="10" type="noConversion"/>
  </si>
  <si>
    <t>No</t>
  </si>
  <si>
    <t>Location</t>
    <phoneticPr fontId="10" type="noConversion"/>
  </si>
  <si>
    <t>Name</t>
  </si>
  <si>
    <t xml:space="preserve">          LOT PLAN NO:</t>
  </si>
  <si>
    <t>CONV.</t>
  </si>
  <si>
    <t>DMD</t>
  </si>
  <si>
    <t>2A</t>
  </si>
  <si>
    <t>PLINE</t>
  </si>
  <si>
    <t>TECHNICAL DESCRIPTION</t>
  </si>
  <si>
    <t>LINE</t>
  </si>
  <si>
    <t>BEARING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</si>
</sst>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(* #,##0.000_);_(* \(#,##0.000\);_(* &quot;-&quot;??_);_(@_)"/>
    <numFmt numFmtId="165" formatCode="#,##0.000"/>
    <numFmt numFmtId="166" formatCode="_(* #,##0.000_);_(* \(#,##0.000\);_(* &quot;-&quot;???_);_(@_)"/>
    <numFmt numFmtId="167" formatCode="0.000"/>
    <numFmt numFmtId="168" formatCode="_(* #,##0_);_(* \(#,##0\);_(* &quot;-&quot;??_);_(@_)"/>
    <numFmt numFmtId="169" formatCode="_(* #,##0.0000_);_(* \(#,##0.0000\);_(* &quot;-&quot;??_);_(@_)"/>
  </numFmts>
  <fonts count="35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Bookman Old Style"/>
      <family val="1"/>
    </font>
    <font>
      <sz val="8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9"/>
      <name val="Bookman Old Style"/>
      <family val="1"/>
    </font>
    <font>
      <sz val="15.5"/>
      <color indexed="18"/>
      <name val="Arial"/>
    </font>
    <font>
      <sz val="8"/>
      <name val="Verdana"/>
    </font>
    <font>
      <sz val="10"/>
      <color indexed="18"/>
      <name val="Arial"/>
    </font>
    <font>
      <sz val="8"/>
      <color indexed="8"/>
      <name val="Albany"/>
      <family val="2"/>
    </font>
    <font>
      <sz val="10"/>
      <color indexed="8"/>
      <name val="Albany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erdan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9"/>
      <name val="Verdana"/>
    </font>
    <font>
      <sz val="10"/>
      <color indexed="9"/>
      <name val="Verdana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2" borderId="21" applyNumberFormat="0" applyAlignment="0" applyProtection="0"/>
    <xf numFmtId="0" fontId="19" fillId="13" borderId="22" applyNumberFormat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21" applyNumberFormat="0" applyAlignment="0" applyProtection="0"/>
    <xf numFmtId="0" fontId="27" fillId="0" borderId="26" applyNumberFormat="0" applyFill="0" applyAlignment="0" applyProtection="0"/>
    <xf numFmtId="0" fontId="28" fillId="15" borderId="0" applyNumberFormat="0" applyBorder="0" applyAlignment="0" applyProtection="0"/>
    <xf numFmtId="0" fontId="20" fillId="16" borderId="27" applyNumberFormat="0" applyFont="0" applyAlignment="0" applyProtection="0"/>
    <xf numFmtId="0" fontId="29" fillId="2" borderId="28" applyNumberFormat="0" applyAlignment="0" applyProtection="0"/>
    <xf numFmtId="0" fontId="30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2" fillId="0" borderId="0" applyNumberFormat="0" applyFill="0" applyBorder="0" applyAlignment="0" applyProtection="0"/>
  </cellStyleXfs>
  <cellXfs count="238">
    <xf numFmtId="0" fontId="0" fillId="0" borderId="0" xfId="0"/>
    <xf numFmtId="0" fontId="3" fillId="0" borderId="13" xfId="0" applyFont="1" applyFill="1" applyBorder="1" applyAlignment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0" fontId="3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167" fontId="0" fillId="0" borderId="0" xfId="0" applyNumberFormat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2" fillId="0" borderId="9" xfId="0" applyFont="1" applyBorder="1" applyAlignment="1" applyProtection="1">
      <alignment horizontal="right"/>
      <protection locked="0"/>
    </xf>
    <xf numFmtId="16" fontId="9" fillId="0" borderId="0" xfId="0" applyNumberFormat="1" applyFont="1" applyAlignment="1">
      <alignment wrapText="1"/>
    </xf>
    <xf numFmtId="1" fontId="2" fillId="0" borderId="0" xfId="0" applyNumberFormat="1" applyFont="1" applyBorder="1" applyAlignment="1">
      <alignment horizontal="centerContinuous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" fontId="2" fillId="0" borderId="10" xfId="0" applyNumberFormat="1" applyFont="1" applyBorder="1" applyAlignment="1">
      <alignment horizontal="centerContinuous"/>
    </xf>
    <xf numFmtId="1" fontId="2" fillId="0" borderId="10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2" fillId="0" borderId="4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164" fontId="8" fillId="0" borderId="0" xfId="28" applyNumberFormat="1" applyFont="1" applyBorder="1" applyAlignment="1">
      <alignment horizontal="center"/>
    </xf>
    <xf numFmtId="164" fontId="2" fillId="0" borderId="10" xfId="28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43" fontId="2" fillId="0" borderId="18" xfId="28" applyNumberFormat="1" applyFont="1" applyBorder="1" applyAlignment="1"/>
    <xf numFmtId="43" fontId="2" fillId="0" borderId="16" xfId="28" applyNumberFormat="1" applyFont="1" applyBorder="1" applyAlignment="1"/>
    <xf numFmtId="0" fontId="0" fillId="0" borderId="0" xfId="0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164" fontId="2" fillId="0" borderId="10" xfId="28" applyNumberFormat="1" applyFont="1" applyBorder="1" applyAlignment="1"/>
    <xf numFmtId="0" fontId="2" fillId="0" borderId="11" xfId="0" applyFont="1" applyBorder="1" applyAlignment="1"/>
    <xf numFmtId="0" fontId="2" fillId="0" borderId="15" xfId="0" applyFont="1" applyBorder="1" applyAlignment="1"/>
    <xf numFmtId="0" fontId="2" fillId="0" borderId="0" xfId="0" applyFont="1" applyBorder="1" applyAlignment="1"/>
    <xf numFmtId="2" fontId="2" fillId="0" borderId="0" xfId="0" applyNumberFormat="1" applyFont="1" applyBorder="1" applyAlignment="1"/>
    <xf numFmtId="1" fontId="0" fillId="0" borderId="0" xfId="0" applyNumberFormat="1" applyAlignment="1"/>
    <xf numFmtId="168" fontId="12" fillId="0" borderId="1" xfId="28" applyNumberFormat="1" applyFont="1" applyBorder="1" applyAlignment="1">
      <alignment horizontal="center"/>
    </xf>
    <xf numFmtId="168" fontId="12" fillId="0" borderId="4" xfId="28" applyNumberFormat="1" applyFont="1" applyBorder="1" applyAlignment="1">
      <alignment horizontal="center"/>
    </xf>
    <xf numFmtId="168" fontId="12" fillId="0" borderId="6" xfId="28" applyNumberFormat="1" applyFont="1" applyBorder="1" applyAlignment="1">
      <alignment horizontal="center"/>
    </xf>
    <xf numFmtId="168" fontId="0" fillId="0" borderId="0" xfId="28" applyNumberFormat="1" applyFont="1"/>
    <xf numFmtId="14" fontId="0" fillId="0" borderId="0" xfId="0" applyNumberFormat="1"/>
    <xf numFmtId="0" fontId="11" fillId="0" borderId="10" xfId="0" applyFont="1" applyBorder="1" applyAlignment="1"/>
    <xf numFmtId="2" fontId="2" fillId="0" borderId="18" xfId="0" applyNumberFormat="1" applyFont="1" applyBorder="1" applyAlignment="1"/>
    <xf numFmtId="0" fontId="2" fillId="0" borderId="18" xfId="0" applyFont="1" applyBorder="1" applyAlignment="1">
      <alignment horizontal="center"/>
    </xf>
    <xf numFmtId="0" fontId="33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34" fillId="0" borderId="0" xfId="0" applyFont="1" applyFill="1"/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64" fontId="3" fillId="0" borderId="0" xfId="28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centerContinuous"/>
    </xf>
    <xf numFmtId="1" fontId="3" fillId="0" borderId="13" xfId="0" applyNumberFormat="1" applyFont="1" applyFill="1" applyBorder="1" applyAlignment="1">
      <alignment horizontal="centerContinuous"/>
    </xf>
    <xf numFmtId="167" fontId="3" fillId="0" borderId="13" xfId="28" applyNumberFormat="1" applyFont="1" applyFill="1" applyBorder="1" applyAlignment="1">
      <alignment horizontal="center"/>
    </xf>
    <xf numFmtId="164" fontId="3" fillId="0" borderId="13" xfId="28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Continuous"/>
    </xf>
    <xf numFmtId="0" fontId="4" fillId="0" borderId="0" xfId="0" applyFont="1" applyFill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right"/>
      <protection locked="0"/>
    </xf>
    <xf numFmtId="0" fontId="2" fillId="0" borderId="18" xfId="0" applyNumberFormat="1" applyFont="1" applyFill="1" applyBorder="1" applyAlignment="1" applyProtection="1">
      <alignment horizontal="left"/>
      <protection locked="0"/>
    </xf>
    <xf numFmtId="0" fontId="2" fillId="0" borderId="16" xfId="0" applyFont="1" applyFill="1" applyBorder="1" applyAlignment="1">
      <alignment horizontal="centerContinuous"/>
    </xf>
    <xf numFmtId="1" fontId="2" fillId="0" borderId="16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5" fillId="0" borderId="17" xfId="0" applyFont="1" applyFill="1" applyBorder="1" applyAlignment="1">
      <alignment horizontal="center"/>
    </xf>
    <xf numFmtId="0" fontId="0" fillId="0" borderId="0" xfId="0" applyFill="1" applyProtection="1">
      <protection locked="0"/>
    </xf>
    <xf numFmtId="0" fontId="2" fillId="0" borderId="9" xfId="0" applyFont="1" applyFill="1" applyBorder="1" applyProtection="1">
      <protection locked="0"/>
    </xf>
    <xf numFmtId="0" fontId="0" fillId="0" borderId="0" xfId="0" applyFill="1" applyBorder="1"/>
    <xf numFmtId="164" fontId="2" fillId="0" borderId="0" xfId="28" applyNumberFormat="1" applyFont="1" applyFill="1"/>
    <xf numFmtId="0" fontId="2" fillId="0" borderId="9" xfId="0" applyFont="1" applyFill="1" applyBorder="1"/>
    <xf numFmtId="49" fontId="2" fillId="0" borderId="18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6" xfId="0" applyFont="1" applyFill="1" applyBorder="1"/>
    <xf numFmtId="164" fontId="2" fillId="0" borderId="16" xfId="28" applyNumberFormat="1" applyFont="1" applyFill="1" applyBorder="1" applyAlignment="1">
      <alignment horizontal="center"/>
    </xf>
    <xf numFmtId="164" fontId="2" fillId="0" borderId="16" xfId="28" applyNumberFormat="1" applyFont="1" applyFill="1" applyBorder="1"/>
    <xf numFmtId="169" fontId="0" fillId="0" borderId="16" xfId="28" applyNumberFormat="1" applyFont="1" applyFill="1" applyBorder="1"/>
    <xf numFmtId="164" fontId="2" fillId="0" borderId="17" xfId="28" applyNumberFormat="1" applyFont="1" applyFill="1" applyBorder="1"/>
    <xf numFmtId="164" fontId="2" fillId="0" borderId="0" xfId="28" applyNumberFormat="1" applyFont="1" applyFill="1" applyBorder="1"/>
    <xf numFmtId="1" fontId="0" fillId="0" borderId="0" xfId="0" applyNumberFormat="1" applyFill="1"/>
    <xf numFmtId="0" fontId="0" fillId="0" borderId="0" xfId="0" applyAlignment="1">
      <alignment horizontal="right"/>
    </xf>
    <xf numFmtId="49" fontId="3" fillId="0" borderId="9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left"/>
    </xf>
    <xf numFmtId="1" fontId="3" fillId="0" borderId="16" xfId="0" applyNumberFormat="1" applyFont="1" applyFill="1" applyBorder="1" applyAlignment="1">
      <alignment horizontal="centerContinuous"/>
    </xf>
    <xf numFmtId="0" fontId="3" fillId="0" borderId="16" xfId="0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Continuous"/>
    </xf>
    <xf numFmtId="1" fontId="2" fillId="0" borderId="16" xfId="0" applyNumberFormat="1" applyFont="1" applyFill="1" applyBorder="1" applyAlignment="1">
      <alignment horizontal="centerContinuous"/>
    </xf>
    <xf numFmtId="164" fontId="2" fillId="0" borderId="16" xfId="0" applyNumberFormat="1" applyFont="1" applyFill="1" applyBorder="1" applyAlignment="1">
      <alignment horizontal="centerContinuous"/>
    </xf>
    <xf numFmtId="0" fontId="0" fillId="0" borderId="0" xfId="0" applyFill="1" applyBorder="1" applyAlignment="1">
      <alignment horizontal="left"/>
    </xf>
    <xf numFmtId="0" fontId="3" fillId="0" borderId="37" xfId="0" applyFont="1" applyFill="1" applyBorder="1" applyAlignment="1">
      <alignment horizontal="left"/>
    </xf>
    <xf numFmtId="164" fontId="3" fillId="0" borderId="37" xfId="28" applyNumberFormat="1" applyFont="1" applyFill="1" applyBorder="1" applyAlignment="1">
      <alignment horizontal="left"/>
    </xf>
    <xf numFmtId="0" fontId="2" fillId="0" borderId="42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horizontal="left"/>
    </xf>
    <xf numFmtId="166" fontId="2" fillId="0" borderId="0" xfId="28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2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43" fontId="3" fillId="0" borderId="37" xfId="28" applyFont="1" applyFill="1" applyBorder="1" applyAlignment="1">
      <alignment horizontal="right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left"/>
    </xf>
    <xf numFmtId="167" fontId="2" fillId="0" borderId="0" xfId="0" applyNumberFormat="1" applyFont="1" applyBorder="1" applyAlignment="1">
      <alignment horizontal="center"/>
    </xf>
    <xf numFmtId="166" fontId="2" fillId="0" borderId="0" xfId="28" applyNumberFormat="1" applyFont="1" applyBorder="1" applyAlignment="1">
      <alignment horizontal="center"/>
    </xf>
    <xf numFmtId="43" fontId="2" fillId="0" borderId="0" xfId="0" applyNumberFormat="1" applyFont="1" applyBorder="1" applyAlignment="1"/>
    <xf numFmtId="43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/>
    <xf numFmtId="0" fontId="2" fillId="0" borderId="10" xfId="0" applyFont="1" applyBorder="1" applyAlignment="1">
      <alignment horizontal="left"/>
    </xf>
    <xf numFmtId="0" fontId="0" fillId="0" borderId="10" xfId="0" applyBorder="1" applyAlignment="1"/>
    <xf numFmtId="1" fontId="2" fillId="0" borderId="10" xfId="0" applyNumberFormat="1" applyFont="1" applyBorder="1" applyAlignment="1">
      <alignment horizontal="left"/>
    </xf>
    <xf numFmtId="1" fontId="0" fillId="0" borderId="10" xfId="0" applyNumberFormat="1" applyBorder="1" applyAlignment="1"/>
    <xf numFmtId="0" fontId="3" fillId="0" borderId="10" xfId="0" applyFont="1" applyBorder="1" applyAlignment="1">
      <alignment horizontal="right"/>
    </xf>
    <xf numFmtId="15" fontId="0" fillId="0" borderId="10" xfId="0" applyNumberFormat="1" applyBorder="1" applyAlignment="1"/>
    <xf numFmtId="4" fontId="3" fillId="0" borderId="10" xfId="0" applyNumberFormat="1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left"/>
    </xf>
    <xf numFmtId="0" fontId="0" fillId="0" borderId="8" xfId="0" applyBorder="1" applyAlignment="1"/>
    <xf numFmtId="0" fontId="2" fillId="0" borderId="8" xfId="0" applyFont="1" applyBorder="1" applyAlignment="1">
      <alignment horizontal="left"/>
    </xf>
    <xf numFmtId="1" fontId="0" fillId="0" borderId="8" xfId="0" applyNumberFormat="1" applyBorder="1" applyAlignment="1"/>
    <xf numFmtId="0" fontId="3" fillId="0" borderId="8" xfId="0" applyFont="1" applyBorder="1" applyAlignment="1">
      <alignment horizontal="right"/>
    </xf>
    <xf numFmtId="0" fontId="2" fillId="0" borderId="8" xfId="0" applyFont="1" applyBorder="1" applyAlignment="1"/>
    <xf numFmtId="0" fontId="0" fillId="0" borderId="33" xfId="0" applyBorder="1" applyAlignment="1"/>
    <xf numFmtId="0" fontId="2" fillId="0" borderId="9" xfId="0" applyFont="1" applyBorder="1" applyAlignment="1">
      <alignment horizontal="left"/>
    </xf>
    <xf numFmtId="0" fontId="0" fillId="0" borderId="11" xfId="0" applyBorder="1" applyAlignment="1"/>
    <xf numFmtId="0" fontId="2" fillId="0" borderId="36" xfId="0" applyFont="1" applyBorder="1" applyAlignment="1">
      <alignment horizontal="left"/>
    </xf>
    <xf numFmtId="0" fontId="0" fillId="0" borderId="37" xfId="0" applyBorder="1" applyAlignment="1"/>
    <xf numFmtId="0" fontId="2" fillId="0" borderId="37" xfId="0" applyFont="1" applyBorder="1" applyAlignment="1">
      <alignment horizontal="left"/>
    </xf>
    <xf numFmtId="1" fontId="0" fillId="0" borderId="37" xfId="0" applyNumberFormat="1" applyBorder="1" applyAlignment="1"/>
    <xf numFmtId="0" fontId="3" fillId="0" borderId="37" xfId="0" applyFont="1" applyBorder="1" applyAlignment="1">
      <alignment horizontal="right"/>
    </xf>
    <xf numFmtId="0" fontId="3" fillId="0" borderId="37" xfId="0" applyFont="1" applyBorder="1" applyAlignment="1"/>
    <xf numFmtId="0" fontId="0" fillId="0" borderId="42" xfId="0" applyBorder="1" applyAlignment="1"/>
    <xf numFmtId="49" fontId="6" fillId="0" borderId="50" xfId="0" applyNumberFormat="1" applyFont="1" applyBorder="1" applyAlignment="1">
      <alignment horizontal="right"/>
    </xf>
    <xf numFmtId="49" fontId="6" fillId="0" borderId="51" xfId="0" applyNumberFormat="1" applyFont="1" applyBorder="1" applyAlignment="1">
      <alignment horizontal="right"/>
    </xf>
    <xf numFmtId="1" fontId="6" fillId="0" borderId="51" xfId="0" applyNumberFormat="1" applyFont="1" applyBorder="1" applyAlignment="1">
      <alignment horizontal="right"/>
    </xf>
    <xf numFmtId="1" fontId="3" fillId="0" borderId="51" xfId="0" applyNumberFormat="1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0" fillId="0" borderId="51" xfId="0" applyBorder="1" applyAlignment="1"/>
    <xf numFmtId="0" fontId="6" fillId="0" borderId="51" xfId="0" applyFont="1" applyBorder="1" applyAlignment="1">
      <alignment horizontal="right"/>
    </xf>
    <xf numFmtId="4" fontId="6" fillId="0" borderId="51" xfId="0" applyNumberFormat="1" applyFont="1" applyBorder="1" applyAlignment="1">
      <alignment horizontal="left"/>
    </xf>
    <xf numFmtId="0" fontId="2" fillId="0" borderId="52" xfId="0" applyFont="1" applyBorder="1" applyAlignment="1"/>
    <xf numFmtId="2" fontId="6" fillId="0" borderId="51" xfId="0" applyNumberFormat="1" applyFont="1" applyBorder="1" applyAlignment="1">
      <alignment horizontal="right"/>
    </xf>
    <xf numFmtId="0" fontId="0" fillId="0" borderId="50" xfId="0" applyBorder="1" applyAlignment="1"/>
    <xf numFmtId="0" fontId="2" fillId="0" borderId="19" xfId="0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2" fillId="0" borderId="47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Continuous"/>
    </xf>
    <xf numFmtId="0" fontId="3" fillId="0" borderId="4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5" xfId="0" applyFont="1" applyBorder="1" applyAlignment="1">
      <alignment horizontal="centerContinuous"/>
    </xf>
    <xf numFmtId="1" fontId="3" fillId="0" borderId="45" xfId="0" applyNumberFormat="1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8" xfId="0" applyNumberFormat="1" applyFont="1" applyBorder="1" applyAlignment="1" applyProtection="1">
      <alignment horizontal="center"/>
      <protection locked="0"/>
    </xf>
    <xf numFmtId="49" fontId="2" fillId="0" borderId="18" xfId="0" applyNumberFormat="1" applyFont="1" applyBorder="1" applyAlignment="1">
      <alignment horizontal="center"/>
    </xf>
    <xf numFmtId="1" fontId="6" fillId="0" borderId="51" xfId="0" applyNumberFormat="1" applyFont="1" applyBorder="1" applyAlignment="1">
      <alignment horizontal="left"/>
    </xf>
    <xf numFmtId="0" fontId="0" fillId="0" borderId="9" xfId="0" applyBorder="1" applyAlignment="1">
      <alignment horizontal="center"/>
    </xf>
    <xf numFmtId="4" fontId="2" fillId="0" borderId="48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Continuous"/>
    </xf>
    <xf numFmtId="1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Continuous"/>
    </xf>
    <xf numFmtId="2" fontId="2" fillId="0" borderId="16" xfId="0" applyNumberFormat="1" applyFont="1" applyBorder="1"/>
    <xf numFmtId="43" fontId="2" fillId="0" borderId="16" xfId="28" applyNumberFormat="1" applyFont="1" applyBorder="1"/>
    <xf numFmtId="43" fontId="2" fillId="0" borderId="53" xfId="0" applyNumberFormat="1" applyFont="1" applyBorder="1"/>
    <xf numFmtId="2" fontId="2" fillId="0" borderId="17" xfId="0" applyNumberFormat="1" applyFont="1" applyBorder="1"/>
    <xf numFmtId="0" fontId="3" fillId="0" borderId="53" xfId="0" applyFont="1" applyBorder="1" applyAlignment="1">
      <alignment horizontal="centerContinuous"/>
    </xf>
    <xf numFmtId="0" fontId="3" fillId="0" borderId="11" xfId="0" applyFont="1" applyBorder="1" applyAlignment="1">
      <alignment horizontal="centerContinuous"/>
    </xf>
    <xf numFmtId="166" fontId="2" fillId="0" borderId="53" xfId="28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left"/>
    </xf>
    <xf numFmtId="164" fontId="2" fillId="0" borderId="8" xfId="28" applyNumberFormat="1" applyFont="1" applyBorder="1" applyAlignment="1">
      <alignment horizontal="left"/>
    </xf>
    <xf numFmtId="164" fontId="3" fillId="0" borderId="8" xfId="28" applyNumberFormat="1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164" fontId="2" fillId="0" borderId="10" xfId="28" applyNumberFormat="1" applyFont="1" applyBorder="1" applyAlignment="1">
      <alignment horizontal="left"/>
    </xf>
    <xf numFmtId="164" fontId="3" fillId="0" borderId="10" xfId="28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1" fontId="2" fillId="0" borderId="35" xfId="0" applyNumberFormat="1" applyFont="1" applyBorder="1" applyAlignment="1">
      <alignment horizontal="left"/>
    </xf>
    <xf numFmtId="0" fontId="3" fillId="0" borderId="35" xfId="0" applyFont="1" applyBorder="1" applyAlignment="1">
      <alignment horizontal="right"/>
    </xf>
    <xf numFmtId="164" fontId="2" fillId="0" borderId="0" xfId="28" applyNumberFormat="1" applyFont="1" applyBorder="1" applyAlignment="1"/>
    <xf numFmtId="15" fontId="3" fillId="0" borderId="11" xfId="0" applyNumberFormat="1" applyFont="1" applyBorder="1" applyAlignment="1">
      <alignment horizontal="right"/>
    </xf>
    <xf numFmtId="1" fontId="2" fillId="0" borderId="37" xfId="0" applyNumberFormat="1" applyFont="1" applyBorder="1" applyAlignment="1">
      <alignment horizontal="left"/>
    </xf>
    <xf numFmtId="164" fontId="2" fillId="0" borderId="35" xfId="28" applyNumberFormat="1" applyFont="1" applyBorder="1" applyAlignment="1">
      <alignment horizontal="left"/>
    </xf>
    <xf numFmtId="164" fontId="3" fillId="0" borderId="35" xfId="28" applyNumberFormat="1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164" fontId="0" fillId="0" borderId="16" xfId="28" applyNumberFormat="1" applyFont="1" applyBorder="1"/>
    <xf numFmtId="167" fontId="0" fillId="0" borderId="0" xfId="0" applyNumberFormat="1" applyAlignment="1">
      <alignment horizontal="left"/>
    </xf>
    <xf numFmtId="49" fontId="3" fillId="0" borderId="43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164" fontId="3" fillId="0" borderId="39" xfId="28" applyNumberFormat="1" applyFont="1" applyFill="1" applyBorder="1" applyAlignment="1">
      <alignment horizontal="center"/>
    </xf>
    <xf numFmtId="164" fontId="3" fillId="0" borderId="40" xfId="28" applyNumberFormat="1" applyFont="1" applyFill="1" applyBorder="1" applyAlignment="1">
      <alignment horizontal="center"/>
    </xf>
    <xf numFmtId="164" fontId="3" fillId="0" borderId="41" xfId="28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1" fontId="3" fillId="0" borderId="37" xfId="0" applyNumberFormat="1" applyFont="1" applyFill="1" applyBorder="1" applyAlignment="1">
      <alignment horizontal="left"/>
    </xf>
    <xf numFmtId="164" fontId="3" fillId="0" borderId="37" xfId="28" applyNumberFormat="1" applyFont="1" applyFill="1" applyBorder="1" applyAlignment="1">
      <alignment horizontal="right"/>
    </xf>
    <xf numFmtId="49" fontId="3" fillId="0" borderId="36" xfId="0" applyNumberFormat="1" applyFont="1" applyFill="1" applyBorder="1" applyAlignment="1">
      <alignment horizontal="right"/>
    </xf>
    <xf numFmtId="49" fontId="3" fillId="0" borderId="37" xfId="0" applyNumberFormat="1" applyFont="1" applyFill="1" applyBorder="1" applyAlignment="1">
      <alignment horizontal="right"/>
    </xf>
    <xf numFmtId="0" fontId="0" fillId="0" borderId="37" xfId="0" applyBorder="1" applyAlignment="1"/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" xfId="0" builtinId="0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PLOT - Lot Area</a:t>
            </a:r>
          </a:p>
        </c:rich>
      </c:tx>
      <c:layout>
        <c:manualLayout>
          <c:xMode val="edge"/>
          <c:yMode val="edge"/>
          <c:x val="0.396419437340153"/>
          <c:y val="0.032258161175941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35555221848"/>
          <c:y val="0.0803383285851472"/>
          <c:w val="0.808184395537907"/>
          <c:h val="0.663848294098322"/>
        </c:manualLayout>
      </c:layout>
      <c:scatterChart>
        <c:scatterStyle val="lineMarker"/>
        <c:ser>
          <c:idx val="0"/>
          <c:order val="0"/>
          <c:tx>
            <c:v>"B4L10"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4"/>
              <c:delete val="1"/>
            </c:dLbl>
            <c:dLbl>
              <c:idx val="5"/>
              <c:layout>
                <c:manualLayout>
                  <c:x val="-0.119853958505902"/>
                  <c:y val="0.261226536467777"/>
                </c:manualLayout>
              </c:layout>
              <c:tx>
                <c:rich>
                  <a:bodyPr/>
                  <a:lstStyle/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Lot 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spPr>
              <a:noFill/>
              <a:ln w="25400">
                <a:noFill/>
              </a:ln>
            </c:spPr>
            <c:showVal val="1"/>
          </c:dLbls>
          <c:xVal>
            <c:numRef>
              <c:f>BearDist!$O$9:$O$15</c:f>
              <c:numCache>
                <c:formatCode>#,##0.00</c:formatCode>
                <c:ptCount val="7"/>
                <c:pt idx="0">
                  <c:v>474935.91</c:v>
                </c:pt>
                <c:pt idx="1">
                  <c:v>474939.27</c:v>
                </c:pt>
                <c:pt idx="2">
                  <c:v>474946.52</c:v>
                </c:pt>
                <c:pt idx="3">
                  <c:v>474959.97</c:v>
                </c:pt>
                <c:pt idx="4">
                  <c:v>474945.47</c:v>
                </c:pt>
                <c:pt idx="5">
                  <c:v>474928.66</c:v>
                </c:pt>
                <c:pt idx="6">
                  <c:v>474935.91</c:v>
                </c:pt>
              </c:numCache>
            </c:numRef>
          </c:xVal>
          <c:yVal>
            <c:numRef>
              <c:f>BearDist!$N$9:$N$15</c:f>
              <c:numCache>
                <c:formatCode>#,##0.00</c:formatCode>
                <c:ptCount val="7"/>
                <c:pt idx="0">
                  <c:v>1.6482016E6</c:v>
                </c:pt>
                <c:pt idx="1">
                  <c:v>1.64819434E6</c:v>
                </c:pt>
                <c:pt idx="2">
                  <c:v>1.6481977E6</c:v>
                </c:pt>
                <c:pt idx="3">
                  <c:v>1.64816867E6</c:v>
                </c:pt>
                <c:pt idx="4">
                  <c:v>1.64816195E6</c:v>
                </c:pt>
                <c:pt idx="5">
                  <c:v>1.64819824E6</c:v>
                </c:pt>
                <c:pt idx="6">
                  <c:v>1.6482016E6</c:v>
                </c:pt>
              </c:numCache>
            </c:numRef>
          </c:yVal>
        </c:ser>
        <c:axId val="293298392"/>
        <c:axId val="293302056"/>
      </c:scatterChart>
      <c:valAx>
        <c:axId val="293298392"/>
        <c:scaling>
          <c:orientation val="minMax"/>
        </c:scaling>
        <c:axPos val="b"/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302056"/>
        <c:crosses val="autoZero"/>
        <c:crossBetween val="midCat"/>
      </c:valAx>
      <c:valAx>
        <c:axId val="293302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298392"/>
        <c:crosses val="autoZero"/>
        <c:crossBetween val="midCat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PLOT - Lot Area</a:t>
            </a:r>
          </a:p>
        </c:rich>
      </c:tx>
      <c:layout>
        <c:manualLayout>
          <c:xMode val="edge"/>
          <c:yMode val="edge"/>
          <c:x val="0.396419539224264"/>
          <c:y val="0.032258124552612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11114205569"/>
          <c:y val="0.191681778297748"/>
          <c:w val="0.810370516921751"/>
          <c:h val="0.616636664146528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PTMCoor!$M$10:$M$26</c:f>
              <c:numCache>
                <c:formatCode>#,##0.00</c:formatCode>
                <c:ptCount val="17"/>
                <c:pt idx="0" formatCode="0.000">
                  <c:v>493322.274</c:v>
                </c:pt>
                <c:pt idx="1">
                  <c:v>495825.215</c:v>
                </c:pt>
                <c:pt idx="2">
                  <c:v>495836.6708</c:v>
                </c:pt>
                <c:pt idx="3">
                  <c:v>495853.8201</c:v>
                </c:pt>
                <c:pt idx="4">
                  <c:v>495865.7979</c:v>
                </c:pt>
                <c:pt idx="5">
                  <c:v>495932.7811</c:v>
                </c:pt>
                <c:pt idx="6">
                  <c:v>495989.451</c:v>
                </c:pt>
                <c:pt idx="7">
                  <c:v>496082.8891</c:v>
                </c:pt>
                <c:pt idx="8">
                  <c:v>496179.8577</c:v>
                </c:pt>
                <c:pt idx="9">
                  <c:v>496340.4773</c:v>
                </c:pt>
                <c:pt idx="10">
                  <c:v>496443.582</c:v>
                </c:pt>
                <c:pt idx="11">
                  <c:v>496487.5945</c:v>
                </c:pt>
                <c:pt idx="12">
                  <c:v>496510.9981</c:v>
                </c:pt>
                <c:pt idx="13">
                  <c:v>497166.799</c:v>
                </c:pt>
                <c:pt idx="14">
                  <c:v>497273.656</c:v>
                </c:pt>
                <c:pt idx="15">
                  <c:v>496917.089</c:v>
                </c:pt>
                <c:pt idx="16">
                  <c:v>495732.792</c:v>
                </c:pt>
              </c:numCache>
            </c:numRef>
          </c:xVal>
          <c:yVal>
            <c:numRef>
              <c:f>PTMCoor!$L$10:$L$26</c:f>
              <c:numCache>
                <c:formatCode>#,##0.00</c:formatCode>
                <c:ptCount val="17"/>
                <c:pt idx="0" formatCode="0.000">
                  <c:v>1.684856777E6</c:v>
                </c:pt>
                <c:pt idx="1">
                  <c:v>1.689588431E6</c:v>
                </c:pt>
                <c:pt idx="2">
                  <c:v>1.6897336557E6</c:v>
                </c:pt>
                <c:pt idx="3">
                  <c:v>1.6897985017E6</c:v>
                </c:pt>
                <c:pt idx="4">
                  <c:v>1.6898880492E6</c:v>
                </c:pt>
                <c:pt idx="5">
                  <c:v>1.6900788993E6</c:v>
                </c:pt>
                <c:pt idx="6">
                  <c:v>1.6902160593E6</c:v>
                </c:pt>
                <c:pt idx="7">
                  <c:v>1.6904277187E6</c:v>
                </c:pt>
                <c:pt idx="8">
                  <c:v>1.6906134691E6</c:v>
                </c:pt>
                <c:pt idx="9">
                  <c:v>1.6907967368E6</c:v>
                </c:pt>
                <c:pt idx="10">
                  <c:v>1.6909940953E6</c:v>
                </c:pt>
                <c:pt idx="11">
                  <c:v>1.6910761459E6</c:v>
                </c:pt>
                <c:pt idx="12">
                  <c:v>1.69122468E6</c:v>
                </c:pt>
                <c:pt idx="13">
                  <c:v>1.690650175E6</c:v>
                </c:pt>
                <c:pt idx="14">
                  <c:v>1.688991983E6</c:v>
                </c:pt>
                <c:pt idx="15">
                  <c:v>1.688090376E6</c:v>
                </c:pt>
                <c:pt idx="16">
                  <c:v>1.689414754E6</c:v>
                </c:pt>
              </c:numCache>
            </c:numRef>
          </c:yVal>
        </c:ser>
        <c:axId val="293468344"/>
        <c:axId val="293473944"/>
      </c:scatterChart>
      <c:valAx>
        <c:axId val="293468344"/>
        <c:scaling>
          <c:orientation val="minMax"/>
        </c:scaling>
        <c:axPos val="b"/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473944"/>
        <c:crosses val="autoZero"/>
        <c:crossBetween val="midCat"/>
      </c:valAx>
      <c:valAx>
        <c:axId val="293473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4683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18</xdr:row>
      <xdr:rowOff>114300</xdr:rowOff>
    </xdr:from>
    <xdr:to>
      <xdr:col>13</xdr:col>
      <xdr:colOff>25400</xdr:colOff>
      <xdr:row>46</xdr:row>
      <xdr:rowOff>25400</xdr:rowOff>
    </xdr:to>
    <xdr:graphicFrame macro="">
      <xdr:nvGraphicFramePr>
        <xdr:cNvPr id="20633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29</xdr:row>
      <xdr:rowOff>139700</xdr:rowOff>
    </xdr:from>
    <xdr:to>
      <xdr:col>12</xdr:col>
      <xdr:colOff>101600</xdr:colOff>
      <xdr:row>70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Cojuanco_1" connectionId="5" autoFormatId="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Gregorio_1" connectionId="20" autoFormatId="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Tramo_2" connectionId="19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Mabini_2" connectionId="18" autoFormatId="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Valenzuela_2" connectionId="17" autoFormatId="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ta Teresita_1" connectionId="16" autoFormatId="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apsap_1" connectionId="15" autoFormatId="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ta Teresita" connectionId="14" autoFormatId="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Valenzuela_1" connectionId="13" autoFormatId="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Mabini_1" connectionId="12" autoFormatId="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Del Pilar" connectionId="4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aliolio_1" connectionId="3" autoFormatId="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La Fuente" connectionId="9" autoFormatId="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Aguinaldo_1" connectionId="21" autoFormatId="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Burgos_1" connectionId="8" autoFormatId="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an Mariano" connectionId="7" autoFormatId="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to Rosario" connectionId="6" autoFormatId="0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Tramo_1" connectionId="11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Maliolio_2" connectionId="2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to Rosario_1" connectionId="1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an Mariano_1" connectionId="25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guinaldo_2" connectionId="24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Gregorio_2" connectionId="23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Burgos_2" connectionId="22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La Fuente_1" connectionId="10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queryTable" Target="../queryTables/queryTable8.xml"/><Relationship Id="rId20" Type="http://schemas.openxmlformats.org/officeDocument/2006/relationships/queryTable" Target="../queryTables/queryTable19.xml"/><Relationship Id="rId21" Type="http://schemas.openxmlformats.org/officeDocument/2006/relationships/queryTable" Target="../queryTables/queryTable20.xml"/><Relationship Id="rId22" Type="http://schemas.openxmlformats.org/officeDocument/2006/relationships/queryTable" Target="../queryTables/queryTable21.xml"/><Relationship Id="rId23" Type="http://schemas.openxmlformats.org/officeDocument/2006/relationships/queryTable" Target="../queryTables/queryTable22.xml"/><Relationship Id="rId24" Type="http://schemas.openxmlformats.org/officeDocument/2006/relationships/queryTable" Target="../queryTables/queryTable23.xml"/><Relationship Id="rId25" Type="http://schemas.openxmlformats.org/officeDocument/2006/relationships/queryTable" Target="../queryTables/queryTable24.xml"/><Relationship Id="rId26" Type="http://schemas.openxmlformats.org/officeDocument/2006/relationships/queryTable" Target="../queryTables/queryTable25.xml"/><Relationship Id="rId10" Type="http://schemas.openxmlformats.org/officeDocument/2006/relationships/queryTable" Target="../queryTables/queryTable9.xml"/><Relationship Id="rId11" Type="http://schemas.openxmlformats.org/officeDocument/2006/relationships/queryTable" Target="../queryTables/queryTable10.xml"/><Relationship Id="rId12" Type="http://schemas.openxmlformats.org/officeDocument/2006/relationships/queryTable" Target="../queryTables/queryTable11.xml"/><Relationship Id="rId13" Type="http://schemas.openxmlformats.org/officeDocument/2006/relationships/queryTable" Target="../queryTables/queryTable12.xml"/><Relationship Id="rId14" Type="http://schemas.openxmlformats.org/officeDocument/2006/relationships/queryTable" Target="../queryTables/queryTable13.xml"/><Relationship Id="rId15" Type="http://schemas.openxmlformats.org/officeDocument/2006/relationships/queryTable" Target="../queryTables/queryTable14.xml"/><Relationship Id="rId16" Type="http://schemas.openxmlformats.org/officeDocument/2006/relationships/queryTable" Target="../queryTables/queryTable15.xml"/><Relationship Id="rId17" Type="http://schemas.openxmlformats.org/officeDocument/2006/relationships/queryTable" Target="../queryTables/queryTable16.xml"/><Relationship Id="rId18" Type="http://schemas.openxmlformats.org/officeDocument/2006/relationships/queryTable" Target="../queryTables/queryTable17.xml"/><Relationship Id="rId19" Type="http://schemas.openxmlformats.org/officeDocument/2006/relationships/queryTable" Target="../queryTables/queryTable18.xml"/><Relationship Id="rId1" Type="http://schemas.openxmlformats.org/officeDocument/2006/relationships/drawing" Target="../drawings/drawing2.xml"/><Relationship Id="rId2" Type="http://schemas.openxmlformats.org/officeDocument/2006/relationships/queryTable" Target="../queryTables/queryTable1.xml"/><Relationship Id="rId3" Type="http://schemas.openxmlformats.org/officeDocument/2006/relationships/queryTable" Target="../queryTables/queryTable2.xml"/><Relationship Id="rId4" Type="http://schemas.openxmlformats.org/officeDocument/2006/relationships/queryTable" Target="../queryTables/queryTable3.xml"/><Relationship Id="rId5" Type="http://schemas.openxmlformats.org/officeDocument/2006/relationships/queryTable" Target="../queryTables/queryTable4.xml"/><Relationship Id="rId6" Type="http://schemas.openxmlformats.org/officeDocument/2006/relationships/queryTable" Target="../queryTables/queryTable5.xml"/><Relationship Id="rId7" Type="http://schemas.openxmlformats.org/officeDocument/2006/relationships/queryTable" Target="../queryTables/queryTable6.xml"/><Relationship Id="rId8" Type="http://schemas.openxmlformats.org/officeDocument/2006/relationships/queryTable" Target="../queryTables/queryTable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M6"/>
  <sheetViews>
    <sheetView workbookViewId="0">
      <selection activeCell="G14" sqref="G14"/>
    </sheetView>
  </sheetViews>
  <sheetFormatPr baseColWidth="10" defaultColWidth="11.5" defaultRowHeight="12"/>
  <cols>
    <col min="1" max="1" width="6" customWidth="1"/>
    <col min="2" max="2" width="19.6640625" customWidth="1"/>
    <col min="3" max="3" width="14.6640625" bestFit="1" customWidth="1"/>
    <col min="4" max="4" width="8.5" style="58" customWidth="1"/>
    <col min="5" max="5" width="12.83203125" customWidth="1"/>
    <col min="6" max="6" width="21" bestFit="1" customWidth="1"/>
    <col min="7" max="7" width="11.33203125" bestFit="1" customWidth="1"/>
    <col min="8" max="8" width="21.5" bestFit="1" customWidth="1"/>
    <col min="9" max="9" width="10" bestFit="1" customWidth="1"/>
    <col min="10" max="10" width="17.83203125" bestFit="1" customWidth="1"/>
    <col min="11" max="11" width="7.5" bestFit="1" customWidth="1"/>
  </cols>
  <sheetData>
    <row r="1" spans="2:13">
      <c r="B1" t="s">
        <v>91</v>
      </c>
      <c r="C1" t="s">
        <v>92</v>
      </c>
    </row>
    <row r="2" spans="2:13">
      <c r="B2" t="s">
        <v>93</v>
      </c>
      <c r="C2" s="59">
        <v>42353</v>
      </c>
    </row>
    <row r="3" spans="2:13">
      <c r="B3" t="s">
        <v>94</v>
      </c>
      <c r="C3" s="59">
        <v>42384</v>
      </c>
    </row>
    <row r="4" spans="2:13" s="34" customFormat="1" ht="13">
      <c r="B4" s="27" t="s">
        <v>31</v>
      </c>
      <c r="C4" s="27" t="s">
        <v>32</v>
      </c>
      <c r="D4" s="55"/>
      <c r="E4" s="28" t="s">
        <v>33</v>
      </c>
      <c r="F4" s="29" t="s">
        <v>34</v>
      </c>
      <c r="G4" s="30"/>
      <c r="H4" s="31" t="s">
        <v>35</v>
      </c>
      <c r="I4" s="32"/>
      <c r="J4" s="31" t="s">
        <v>36</v>
      </c>
      <c r="K4" s="32"/>
      <c r="L4" s="33"/>
      <c r="M4" s="33"/>
    </row>
    <row r="5" spans="2:13" s="34" customFormat="1" ht="14" thickBot="1">
      <c r="B5" s="35"/>
      <c r="C5" s="35"/>
      <c r="D5" s="56"/>
      <c r="E5" s="36" t="s">
        <v>37</v>
      </c>
      <c r="F5" s="37" t="s">
        <v>68</v>
      </c>
      <c r="G5" s="37" t="s">
        <v>38</v>
      </c>
      <c r="H5" s="38" t="s">
        <v>39</v>
      </c>
      <c r="I5" s="38" t="s">
        <v>40</v>
      </c>
      <c r="J5" s="38" t="s">
        <v>39</v>
      </c>
      <c r="K5" s="38" t="s">
        <v>40</v>
      </c>
      <c r="L5" s="33"/>
      <c r="M5" s="33"/>
    </row>
    <row r="6" spans="2:13" ht="13" thickTop="1">
      <c r="B6" s="24" t="s">
        <v>26</v>
      </c>
      <c r="C6" s="24" t="s">
        <v>27</v>
      </c>
      <c r="D6" s="57"/>
      <c r="E6" s="25" t="s">
        <v>28</v>
      </c>
      <c r="F6" s="24" t="s">
        <v>29</v>
      </c>
      <c r="G6" s="24" t="s">
        <v>30</v>
      </c>
      <c r="H6" s="26">
        <v>1649677.68</v>
      </c>
      <c r="I6" s="26">
        <v>474958.23</v>
      </c>
      <c r="J6" s="26"/>
      <c r="K6" s="26"/>
    </row>
  </sheetData>
  <phoneticPr fontId="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B52"/>
  <sheetViews>
    <sheetView topLeftCell="A2" zoomScale="75" workbookViewId="0">
      <selection activeCell="R15" sqref="R15"/>
    </sheetView>
  </sheetViews>
  <sheetFormatPr baseColWidth="10" defaultColWidth="3.6640625" defaultRowHeight="12"/>
  <cols>
    <col min="1" max="1" width="9.5" style="15" customWidth="1"/>
    <col min="2" max="2" width="3.1640625" style="15" customWidth="1"/>
    <col min="3" max="3" width="1.6640625" style="15" customWidth="1"/>
    <col min="4" max="4" width="2" style="15" bestFit="1" customWidth="1"/>
    <col min="5" max="5" width="4.1640625" style="15" bestFit="1" customWidth="1"/>
    <col min="6" max="6" width="2.5" style="15" hidden="1" customWidth="1"/>
    <col min="7" max="7" width="2.83203125" style="54" customWidth="1"/>
    <col min="8" max="8" width="5.1640625" style="54" customWidth="1"/>
    <col min="9" max="9" width="2.5" style="15" hidden="1" customWidth="1"/>
    <col min="10" max="10" width="2.5" style="15" customWidth="1"/>
    <col min="11" max="11" width="8.1640625" style="15" customWidth="1"/>
    <col min="12" max="12" width="8" style="15" customWidth="1"/>
    <col min="13" max="13" width="9.6640625" style="15" bestFit="1" customWidth="1"/>
    <col min="14" max="14" width="10" style="15" customWidth="1"/>
    <col min="15" max="15" width="11.1640625" style="15" bestFit="1" customWidth="1"/>
    <col min="16" max="16" width="8.1640625" style="15" bestFit="1" customWidth="1"/>
    <col min="17" max="17" width="6.33203125" style="19" customWidth="1"/>
    <col min="18" max="18" width="5.6640625" style="19" customWidth="1"/>
    <col min="19" max="19" width="6.6640625" style="19" bestFit="1" customWidth="1"/>
    <col min="20" max="20" width="15.33203125" style="21" customWidth="1"/>
    <col min="21" max="21" width="20.1640625" style="19" customWidth="1"/>
    <col min="22" max="22" width="17.1640625" style="19" customWidth="1"/>
    <col min="23" max="27" width="3.6640625" style="15"/>
    <col min="28" max="28" width="1.6640625" style="15" bestFit="1" customWidth="1"/>
    <col min="29" max="16383" width="3.6640625" style="15"/>
    <col min="16384" max="16384" width="8.83203125" style="15" customWidth="1"/>
  </cols>
  <sheetData>
    <row r="1" spans="1:28">
      <c r="B1" s="142" t="s">
        <v>46</v>
      </c>
      <c r="C1" s="143"/>
      <c r="D1" s="143"/>
      <c r="E1" s="143"/>
      <c r="F1" s="144"/>
      <c r="G1" s="145"/>
      <c r="H1" s="145"/>
      <c r="I1" s="143"/>
      <c r="J1" s="144"/>
      <c r="K1" s="143"/>
      <c r="L1" s="146"/>
      <c r="M1" s="144" t="s">
        <v>3</v>
      </c>
      <c r="N1" s="143"/>
      <c r="O1" s="147" t="s">
        <v>90</v>
      </c>
      <c r="P1" s="148"/>
    </row>
    <row r="2" spans="1:28">
      <c r="B2" s="149" t="s">
        <v>85</v>
      </c>
      <c r="C2" s="135"/>
      <c r="D2" s="135"/>
      <c r="E2" s="135"/>
      <c r="F2" s="134"/>
      <c r="G2" s="137"/>
      <c r="H2" s="137"/>
      <c r="I2" s="135"/>
      <c r="J2" s="136" t="s">
        <v>96</v>
      </c>
      <c r="K2" s="135"/>
      <c r="L2" s="138"/>
      <c r="M2" s="134" t="s">
        <v>4</v>
      </c>
      <c r="N2" s="135"/>
      <c r="O2" s="140">
        <f>ROUNDUP(E18,0)</f>
        <v>576</v>
      </c>
      <c r="P2" s="150"/>
    </row>
    <row r="3" spans="1:28">
      <c r="B3" s="149" t="s">
        <v>87</v>
      </c>
      <c r="C3" s="135"/>
      <c r="D3" s="135"/>
      <c r="E3" s="135"/>
      <c r="F3" s="134"/>
      <c r="G3" s="137"/>
      <c r="H3" s="137"/>
      <c r="I3" s="135"/>
      <c r="J3" s="136" t="s">
        <v>53</v>
      </c>
      <c r="K3" s="135"/>
      <c r="L3" s="138"/>
      <c r="M3" s="134" t="s">
        <v>5</v>
      </c>
      <c r="N3" s="135"/>
      <c r="O3" s="141" t="s">
        <v>95</v>
      </c>
      <c r="P3" s="150"/>
    </row>
    <row r="4" spans="1:28">
      <c r="B4" s="149" t="s">
        <v>48</v>
      </c>
      <c r="C4" s="135"/>
      <c r="D4" s="135"/>
      <c r="E4" s="135"/>
      <c r="F4" s="134"/>
      <c r="G4" s="137"/>
      <c r="H4" s="137"/>
      <c r="I4" s="135"/>
      <c r="J4" s="136" t="s">
        <v>54</v>
      </c>
      <c r="K4" s="135"/>
      <c r="L4" s="138"/>
      <c r="M4" s="134" t="s">
        <v>6</v>
      </c>
      <c r="N4" s="135"/>
      <c r="O4" s="139">
        <f>BLLM!$C$3</f>
        <v>42384</v>
      </c>
      <c r="P4" s="150"/>
    </row>
    <row r="5" spans="1:28" ht="13" thickBot="1">
      <c r="B5" s="151" t="s">
        <v>50</v>
      </c>
      <c r="C5" s="152"/>
      <c r="D5" s="152"/>
      <c r="E5" s="152"/>
      <c r="F5" s="153"/>
      <c r="G5" s="154"/>
      <c r="H5" s="154"/>
      <c r="I5" s="152"/>
      <c r="J5" s="153" t="s">
        <v>51</v>
      </c>
      <c r="K5" s="152"/>
      <c r="L5" s="155"/>
      <c r="M5" s="153" t="s">
        <v>7</v>
      </c>
      <c r="N5" s="152"/>
      <c r="O5" s="156" t="str">
        <f>BLLM!$C$1</f>
        <v>PCS-03-xxxxxx</v>
      </c>
      <c r="P5" s="157"/>
    </row>
    <row r="6" spans="1:28" ht="13" thickBot="1">
      <c r="A6" s="20"/>
      <c r="B6" s="223" t="s">
        <v>2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5"/>
    </row>
    <row r="7" spans="1:28" s="9" customFormat="1" ht="13" thickBot="1">
      <c r="B7" s="221" t="s">
        <v>109</v>
      </c>
      <c r="C7" s="222"/>
      <c r="D7" s="222"/>
      <c r="E7" s="180" t="s">
        <v>110</v>
      </c>
      <c r="F7" s="180"/>
      <c r="G7" s="181"/>
      <c r="H7" s="181"/>
      <c r="I7" s="180"/>
      <c r="J7" s="180"/>
      <c r="K7" s="177" t="s">
        <v>67</v>
      </c>
      <c r="L7" s="177" t="s">
        <v>68</v>
      </c>
      <c r="M7" s="177" t="s">
        <v>69</v>
      </c>
      <c r="N7" s="178" t="s">
        <v>70</v>
      </c>
      <c r="O7" s="178" t="s">
        <v>71</v>
      </c>
      <c r="P7" s="179" t="s">
        <v>72</v>
      </c>
      <c r="Q7" s="14" t="s">
        <v>104</v>
      </c>
      <c r="R7" s="11" t="s">
        <v>105</v>
      </c>
      <c r="S7" s="125" t="s">
        <v>106</v>
      </c>
      <c r="T7" s="126" t="s">
        <v>107</v>
      </c>
      <c r="U7" s="127"/>
      <c r="V7" s="127"/>
      <c r="Y7" s="10"/>
      <c r="Z7" s="39"/>
      <c r="AA7" s="39"/>
    </row>
    <row r="8" spans="1:28" s="9" customFormat="1">
      <c r="B8" s="188"/>
      <c r="C8" s="183"/>
      <c r="D8" s="184"/>
      <c r="E8" s="11"/>
      <c r="F8" s="11"/>
      <c r="G8" s="172"/>
      <c r="H8" s="172"/>
      <c r="I8" s="11"/>
      <c r="J8" s="11"/>
      <c r="K8" s="173"/>
      <c r="L8" s="174"/>
      <c r="M8" s="175"/>
      <c r="N8" s="189">
        <f>BLLM!H6</f>
        <v>1649677.68</v>
      </c>
      <c r="O8" s="189">
        <f>BLLM!I6</f>
        <v>474958.23</v>
      </c>
      <c r="P8" s="176"/>
      <c r="Q8" s="14"/>
      <c r="R8" s="11"/>
      <c r="S8" s="11"/>
      <c r="T8" s="128" t="str">
        <f t="shared" ref="T8:T15" si="0">CONCATENATE(O8,",",N8)</f>
        <v>474958.23,1649677.68</v>
      </c>
      <c r="U8" s="129"/>
      <c r="V8" s="129"/>
      <c r="Y8" s="12"/>
      <c r="Z8" s="19"/>
      <c r="AA8" s="12"/>
      <c r="AB8" s="9" t="s">
        <v>42</v>
      </c>
    </row>
    <row r="9" spans="1:28" s="9" customFormat="1">
      <c r="A9" s="13"/>
      <c r="B9" s="16" t="s">
        <v>52</v>
      </c>
      <c r="C9" s="2" t="s">
        <v>73</v>
      </c>
      <c r="D9" s="185">
        <v>1</v>
      </c>
      <c r="E9" s="182" t="s">
        <v>66</v>
      </c>
      <c r="F9" s="169">
        <f t="shared" ref="F9:F15" si="1">IF(E9="N", 1, IF(E9="S", -1))</f>
        <v>-1</v>
      </c>
      <c r="G9" s="170">
        <v>0</v>
      </c>
      <c r="H9" s="170">
        <v>52</v>
      </c>
      <c r="I9" s="169">
        <f t="shared" ref="I9:I15" si="2">IF(J9="E", 1, IF(J9="W", -1))</f>
        <v>-1</v>
      </c>
      <c r="J9" s="171" t="s">
        <v>65</v>
      </c>
      <c r="K9" s="60">
        <v>1476.2519</v>
      </c>
      <c r="L9" s="43">
        <f t="shared" ref="L9:L15" si="3">TRUNC(COS(RADIANS(Q9))*F9*K9,2)</f>
        <v>-1476.08</v>
      </c>
      <c r="M9" s="44">
        <f>TRUNC(SIN(RADIANS(Q9))*I9*K9,2)</f>
        <v>-22.32</v>
      </c>
      <c r="N9" s="190">
        <f t="shared" ref="N9:O15" si="4">N8+L9</f>
        <v>1648201.5999999999</v>
      </c>
      <c r="O9" s="190">
        <f t="shared" si="4"/>
        <v>474935.91</v>
      </c>
      <c r="P9" s="4" t="s">
        <v>41</v>
      </c>
      <c r="Q9" s="130">
        <f t="shared" ref="Q9:Q15" si="5">+G9+H9/60</f>
        <v>0.8666666666666667</v>
      </c>
      <c r="R9" s="11"/>
      <c r="S9" s="11"/>
      <c r="T9" s="128" t="str">
        <f t="shared" si="0"/>
        <v>474935.91,1648201.6</v>
      </c>
      <c r="U9" s="128" t="str">
        <f t="shared" ref="U9:U15" si="6">CONCATENATE(B9," ",C9," ",D9,"     ",E9,IF(G9&lt;10,CONCATENATE("0",G9),G9)," ","-",IF(H9&lt;10,CONCATENATE("0",H9),H9)," ",J9,"     ",IF((K9-TRUNC(K9))&lt;&gt;0,IF(K9&lt;10,CONCATENATE("0",ROUND(K9,2)," M."),ROUND(K9,2)),CONCATENATE(IF(K9&lt;10,CONCATENATE("0",ROUND(K9,2)),ROUND(K9,2)),".00 M")))</f>
        <v>BL - 1     S00 -52 W     1476.25</v>
      </c>
      <c r="V9" s="129"/>
      <c r="Y9" s="12"/>
      <c r="Z9" s="19"/>
      <c r="AA9" s="12"/>
      <c r="AB9" s="9" t="s">
        <v>42</v>
      </c>
    </row>
    <row r="10" spans="1:28">
      <c r="A10" s="45"/>
      <c r="B10" s="46">
        <v>1</v>
      </c>
      <c r="C10" s="2" t="s">
        <v>73</v>
      </c>
      <c r="D10" s="185">
        <v>2</v>
      </c>
      <c r="E10" s="3" t="s">
        <v>66</v>
      </c>
      <c r="F10" s="3">
        <f t="shared" si="1"/>
        <v>-1</v>
      </c>
      <c r="G10" s="22">
        <v>24</v>
      </c>
      <c r="H10" s="22">
        <v>52</v>
      </c>
      <c r="I10" s="3">
        <f t="shared" si="2"/>
        <v>1</v>
      </c>
      <c r="J10" s="62" t="s">
        <v>89</v>
      </c>
      <c r="K10" s="61">
        <v>8.01</v>
      </c>
      <c r="L10" s="43">
        <f t="shared" si="3"/>
        <v>-7.26</v>
      </c>
      <c r="M10" s="44">
        <f>TRUNC(SIN(RADIANS(Q10))*I10*K10,2)</f>
        <v>3.36</v>
      </c>
      <c r="N10" s="190">
        <f t="shared" si="4"/>
        <v>1648194.3399999999</v>
      </c>
      <c r="O10" s="190">
        <f t="shared" si="4"/>
        <v>474939.26999999996</v>
      </c>
      <c r="P10" s="4" t="s">
        <v>41</v>
      </c>
      <c r="Q10" s="130">
        <f t="shared" si="5"/>
        <v>24.866666666666667</v>
      </c>
      <c r="R10" s="131">
        <f>M10</f>
        <v>3.36</v>
      </c>
      <c r="S10" s="53">
        <f t="shared" ref="S10:S15" si="7">R10*L10</f>
        <v>-24.393599999999999</v>
      </c>
      <c r="T10" s="128" t="str">
        <f t="shared" si="0"/>
        <v>474939.27,1648194.34</v>
      </c>
      <c r="U10" s="128" t="str">
        <f t="shared" si="6"/>
        <v>1 - 2     S24 -52 E     08.01 M.</v>
      </c>
      <c r="V10" s="129"/>
      <c r="Y10" s="12"/>
      <c r="Z10" s="19"/>
      <c r="AA10" s="12"/>
      <c r="AB10" s="15" t="s">
        <v>42</v>
      </c>
    </row>
    <row r="11" spans="1:28">
      <c r="A11" s="13"/>
      <c r="B11" s="46">
        <v>2</v>
      </c>
      <c r="C11" s="2" t="s">
        <v>73</v>
      </c>
      <c r="D11" s="185">
        <v>3</v>
      </c>
      <c r="E11" s="3" t="s">
        <v>88</v>
      </c>
      <c r="F11" s="3">
        <f t="shared" si="1"/>
        <v>1</v>
      </c>
      <c r="G11" s="23">
        <v>65</v>
      </c>
      <c r="H11" s="23">
        <v>8</v>
      </c>
      <c r="I11" s="3">
        <f t="shared" si="2"/>
        <v>1</v>
      </c>
      <c r="J11" s="62" t="s">
        <v>89</v>
      </c>
      <c r="K11" s="61">
        <v>8</v>
      </c>
      <c r="L11" s="43">
        <f t="shared" si="3"/>
        <v>3.36</v>
      </c>
      <c r="M11" s="44">
        <f>TRUNC(SIN(RADIANS(Q11))*I11*K11,2)</f>
        <v>7.25</v>
      </c>
      <c r="N11" s="190">
        <f t="shared" si="4"/>
        <v>1648197.7</v>
      </c>
      <c r="O11" s="190">
        <f t="shared" si="4"/>
        <v>474946.51999999996</v>
      </c>
      <c r="P11" s="4" t="s">
        <v>41</v>
      </c>
      <c r="Q11" s="130">
        <f t="shared" si="5"/>
        <v>65.13333333333334</v>
      </c>
      <c r="R11" s="131">
        <f>M11+M10+R10</f>
        <v>13.969999999999999</v>
      </c>
      <c r="S11" s="53">
        <f t="shared" si="7"/>
        <v>46.939199999999992</v>
      </c>
      <c r="T11" s="128" t="str">
        <f t="shared" si="0"/>
        <v>474946.52,1648197.7</v>
      </c>
      <c r="U11" s="128" t="str">
        <f t="shared" si="6"/>
        <v>2 - 3     N65 -08 E     08.00 M</v>
      </c>
      <c r="V11" s="129"/>
      <c r="Y11" s="12"/>
      <c r="Z11" s="19"/>
      <c r="AA11" s="12"/>
      <c r="AB11" s="15" t="s">
        <v>42</v>
      </c>
    </row>
    <row r="12" spans="1:28">
      <c r="A12" s="13"/>
      <c r="B12" s="46">
        <v>3</v>
      </c>
      <c r="C12" s="2" t="s">
        <v>73</v>
      </c>
      <c r="D12" s="185">
        <v>4</v>
      </c>
      <c r="E12" s="3" t="s">
        <v>66</v>
      </c>
      <c r="F12" s="3">
        <f t="shared" si="1"/>
        <v>-1</v>
      </c>
      <c r="G12" s="22">
        <v>24</v>
      </c>
      <c r="H12" s="22">
        <v>52</v>
      </c>
      <c r="I12" s="3">
        <f t="shared" si="2"/>
        <v>1</v>
      </c>
      <c r="J12" s="62" t="s">
        <v>89</v>
      </c>
      <c r="K12" s="61">
        <v>32</v>
      </c>
      <c r="L12" s="43">
        <f t="shared" si="3"/>
        <v>-29.03</v>
      </c>
      <c r="M12" s="44">
        <f>TRUNC(SIN(RADIANS(Q12))*I12*K12,2)</f>
        <v>13.45</v>
      </c>
      <c r="N12" s="190">
        <f t="shared" si="4"/>
        <v>1648168.67</v>
      </c>
      <c r="O12" s="190">
        <f t="shared" si="4"/>
        <v>474959.97</v>
      </c>
      <c r="P12" s="4" t="s">
        <v>41</v>
      </c>
      <c r="Q12" s="130">
        <f t="shared" si="5"/>
        <v>24.866666666666667</v>
      </c>
      <c r="R12" s="131">
        <f>M12+M11+R11</f>
        <v>34.67</v>
      </c>
      <c r="S12" s="53">
        <f t="shared" si="7"/>
        <v>-1006.4701000000001</v>
      </c>
      <c r="T12" s="128" t="str">
        <f t="shared" si="0"/>
        <v>474959.97,1648168.67</v>
      </c>
      <c r="U12" s="128" t="str">
        <f t="shared" si="6"/>
        <v>3 - 4     S24 -52 E     32.00 M</v>
      </c>
      <c r="V12" s="129"/>
      <c r="Y12" s="12"/>
      <c r="Z12" s="19"/>
      <c r="AA12" s="12"/>
      <c r="AB12" s="15" t="s">
        <v>42</v>
      </c>
    </row>
    <row r="13" spans="1:28">
      <c r="A13" s="13"/>
      <c r="B13" s="46">
        <v>4</v>
      </c>
      <c r="C13" s="2" t="s">
        <v>73</v>
      </c>
      <c r="D13" s="185">
        <v>5</v>
      </c>
      <c r="E13" s="3" t="s">
        <v>66</v>
      </c>
      <c r="F13" s="3">
        <f t="shared" si="1"/>
        <v>-1</v>
      </c>
      <c r="G13" s="22">
        <v>65</v>
      </c>
      <c r="H13" s="22">
        <v>8</v>
      </c>
      <c r="I13" s="3">
        <f t="shared" si="2"/>
        <v>-1</v>
      </c>
      <c r="J13" s="62" t="s">
        <v>65</v>
      </c>
      <c r="K13" s="61">
        <v>16</v>
      </c>
      <c r="L13" s="43">
        <f t="shared" si="3"/>
        <v>-6.72</v>
      </c>
      <c r="M13" s="44">
        <f>TRUNC(SIN(RADIANS(Q13))*I13*K13,2)+0.01</f>
        <v>-14.5</v>
      </c>
      <c r="N13" s="190">
        <f t="shared" si="4"/>
        <v>1648161.95</v>
      </c>
      <c r="O13" s="190">
        <f t="shared" si="4"/>
        <v>474945.47</v>
      </c>
      <c r="P13" s="4" t="s">
        <v>41</v>
      </c>
      <c r="Q13" s="130">
        <f t="shared" si="5"/>
        <v>65.13333333333334</v>
      </c>
      <c r="R13" s="131">
        <f>M13+M12+R12</f>
        <v>33.620000000000005</v>
      </c>
      <c r="S13" s="53">
        <f t="shared" si="7"/>
        <v>-225.92640000000003</v>
      </c>
      <c r="T13" s="128" t="str">
        <f t="shared" si="0"/>
        <v>474945.47,1648161.95</v>
      </c>
      <c r="U13" s="128" t="str">
        <f>CONCATENATE(B13," ",C13," ",D13,"     ",E13,IF(G13&lt;10,CONCATENATE("0",G13),G13)," ","-",IF(H13&lt;10,CONCATENATE("0",H13),H13)," ",J13,"     ",IF((K13-TRUNC(K13))&lt;&gt;0,IF(K13&lt;10,CONCATENATE("0",ROUND(K13,2)," M."),ROUND(K13,2)),CONCATENATE(IF(K13&lt;10,CONCATENATE("0",ROUND(K13,2)),ROUND(K13,2)),".00 M")))</f>
        <v>4 - 5     S65 -08 W     16.00 M</v>
      </c>
      <c r="V13" s="129"/>
      <c r="Y13" s="12"/>
      <c r="Z13" s="19"/>
      <c r="AA13" s="12"/>
      <c r="AB13" s="15" t="s">
        <v>42</v>
      </c>
    </row>
    <row r="14" spans="1:28">
      <c r="A14" s="45"/>
      <c r="B14" s="46">
        <v>5</v>
      </c>
      <c r="C14" s="2" t="s">
        <v>73</v>
      </c>
      <c r="D14" s="185">
        <v>6</v>
      </c>
      <c r="E14" s="3" t="s">
        <v>64</v>
      </c>
      <c r="F14" s="3">
        <f t="shared" si="1"/>
        <v>1</v>
      </c>
      <c r="G14" s="22">
        <v>24</v>
      </c>
      <c r="H14" s="22">
        <v>52</v>
      </c>
      <c r="I14" s="3">
        <f t="shared" si="2"/>
        <v>-1</v>
      </c>
      <c r="J14" s="62" t="s">
        <v>65</v>
      </c>
      <c r="K14" s="61">
        <v>40</v>
      </c>
      <c r="L14" s="43">
        <f t="shared" si="3"/>
        <v>36.29</v>
      </c>
      <c r="M14" s="44">
        <f>TRUNC(SIN(RADIANS(Q14))*I14*K14,2)+0.01</f>
        <v>-16.809999999999999</v>
      </c>
      <c r="N14" s="190">
        <f t="shared" si="4"/>
        <v>1648198.24</v>
      </c>
      <c r="O14" s="190">
        <f t="shared" si="4"/>
        <v>474928.66</v>
      </c>
      <c r="P14" s="4" t="s">
        <v>41</v>
      </c>
      <c r="Q14" s="130">
        <f t="shared" si="5"/>
        <v>24.866666666666667</v>
      </c>
      <c r="R14" s="131">
        <f>M14+M13+R13</f>
        <v>2.3100000000000058</v>
      </c>
      <c r="S14" s="53">
        <f t="shared" si="7"/>
        <v>83.829900000000208</v>
      </c>
      <c r="T14" s="128" t="str">
        <f t="shared" si="0"/>
        <v>474928.66,1648198.24</v>
      </c>
      <c r="U14" s="128" t="str">
        <f t="shared" si="6"/>
        <v>5 - 6     N24 -52 W     40.00 M</v>
      </c>
      <c r="V14" s="129"/>
      <c r="Y14" s="12"/>
      <c r="Z14" s="19"/>
      <c r="AA14" s="12"/>
      <c r="AB14" s="15" t="s">
        <v>42</v>
      </c>
    </row>
    <row r="15" spans="1:28">
      <c r="A15" s="13"/>
      <c r="B15" s="46">
        <v>6</v>
      </c>
      <c r="C15" s="2" t="s">
        <v>73</v>
      </c>
      <c r="D15" s="185">
        <v>1</v>
      </c>
      <c r="E15" s="3" t="s">
        <v>64</v>
      </c>
      <c r="F15" s="3">
        <f t="shared" si="1"/>
        <v>1</v>
      </c>
      <c r="G15" s="23">
        <v>65</v>
      </c>
      <c r="H15" s="23">
        <v>8</v>
      </c>
      <c r="I15" s="3">
        <f t="shared" si="2"/>
        <v>1</v>
      </c>
      <c r="J15" s="62" t="s">
        <v>89</v>
      </c>
      <c r="K15" s="61">
        <v>8</v>
      </c>
      <c r="L15" s="43">
        <f t="shared" si="3"/>
        <v>3.36</v>
      </c>
      <c r="M15" s="44">
        <f>TRUNC(SIN(RADIANS(Q15))*I15*K15,2)</f>
        <v>7.25</v>
      </c>
      <c r="N15" s="190">
        <f t="shared" si="4"/>
        <v>1648201.6</v>
      </c>
      <c r="O15" s="190">
        <f t="shared" si="4"/>
        <v>474935.91</v>
      </c>
      <c r="P15" s="4" t="s">
        <v>41</v>
      </c>
      <c r="Q15" s="130">
        <f t="shared" si="5"/>
        <v>65.13333333333334</v>
      </c>
      <c r="R15" s="131">
        <f>M15+M14+R14</f>
        <v>-7.2499999999999929</v>
      </c>
      <c r="S15" s="53">
        <f t="shared" si="7"/>
        <v>-24.359999999999975</v>
      </c>
      <c r="T15" s="128" t="str">
        <f t="shared" si="0"/>
        <v>474935.91,1648201.6</v>
      </c>
      <c r="U15" s="128" t="str">
        <f t="shared" si="6"/>
        <v>6 - 1     N65 -08 E     08.00 M</v>
      </c>
      <c r="V15" s="129"/>
      <c r="Y15" s="12"/>
      <c r="Z15" s="19"/>
      <c r="AA15" s="12"/>
    </row>
    <row r="16" spans="1:28">
      <c r="B16" s="47"/>
      <c r="C16" s="48"/>
      <c r="D16" s="186"/>
      <c r="E16" s="3"/>
      <c r="F16" s="3"/>
      <c r="G16" s="23"/>
      <c r="H16" s="23"/>
      <c r="I16" s="3"/>
      <c r="J16" s="3"/>
      <c r="K16" s="48"/>
      <c r="L16" s="40"/>
      <c r="M16" s="49"/>
      <c r="N16" s="49"/>
      <c r="O16" s="48"/>
      <c r="P16" s="50"/>
      <c r="R16" s="52"/>
      <c r="S16" s="53">
        <f>SUM(S10:S15)</f>
        <v>-1150.3809999999999</v>
      </c>
      <c r="U16" s="128"/>
    </row>
    <row r="17" spans="2:20" s="19" customFormat="1">
      <c r="B17" s="51"/>
      <c r="C17" s="52"/>
      <c r="D17" s="5"/>
      <c r="E17" s="6"/>
      <c r="F17" s="6"/>
      <c r="G17" s="18"/>
      <c r="H17" s="18"/>
      <c r="I17" s="6"/>
      <c r="J17" s="52"/>
      <c r="K17" s="52"/>
      <c r="L17" s="7">
        <f>SUM(L10:L15)</f>
        <v>0</v>
      </c>
      <c r="M17" s="7">
        <f>SUM(M10:M15)</f>
        <v>0</v>
      </c>
      <c r="N17" s="52"/>
      <c r="O17" s="6" t="s">
        <v>42</v>
      </c>
      <c r="P17" s="8"/>
      <c r="Q17" s="52"/>
      <c r="R17" s="52"/>
      <c r="T17" s="21"/>
    </row>
    <row r="18" spans="2:20" s="19" customFormat="1" ht="13" thickBot="1">
      <c r="B18" s="168"/>
      <c r="C18" s="159"/>
      <c r="D18" s="158" t="s">
        <v>43</v>
      </c>
      <c r="E18" s="167">
        <f>TRUNC(ABS(SUM(S10:S15))/2,2)</f>
        <v>575.19000000000005</v>
      </c>
      <c r="F18" s="167"/>
      <c r="G18" s="160"/>
      <c r="H18" s="187" t="s">
        <v>44</v>
      </c>
      <c r="I18" s="161"/>
      <c r="J18" s="161"/>
      <c r="K18" s="162"/>
      <c r="L18" s="163"/>
      <c r="M18" s="164"/>
      <c r="N18" s="164" t="s">
        <v>45</v>
      </c>
      <c r="O18" s="165">
        <f>SUM(K10:K15)/E18</f>
        <v>0.19473565256697783</v>
      </c>
      <c r="P18" s="166"/>
      <c r="Q18" s="132"/>
      <c r="R18" s="52"/>
      <c r="T18" s="21"/>
    </row>
    <row r="19" spans="2:20">
      <c r="S19" s="133"/>
    </row>
    <row r="20" spans="2:20">
      <c r="S20" s="133"/>
    </row>
    <row r="21" spans="2:20">
      <c r="S21" s="133"/>
    </row>
    <row r="22" spans="2:20">
      <c r="S22" s="133"/>
    </row>
    <row r="23" spans="2:20" ht="18">
      <c r="K23" s="41"/>
      <c r="L23" s="41"/>
      <c r="M23" s="42"/>
      <c r="S23" s="133"/>
    </row>
    <row r="24" spans="2:20" ht="18">
      <c r="K24" s="17"/>
      <c r="L24" s="41"/>
      <c r="M24" s="42"/>
    </row>
    <row r="25" spans="2:20" ht="18">
      <c r="K25" s="17"/>
      <c r="L25" s="41"/>
      <c r="M25" s="42"/>
    </row>
    <row r="26" spans="2:20" ht="18">
      <c r="K26" s="17"/>
      <c r="L26" s="41"/>
      <c r="M26" s="42"/>
    </row>
    <row r="27" spans="2:20" ht="18">
      <c r="K27" s="17"/>
      <c r="L27" s="41"/>
      <c r="M27" s="42"/>
    </row>
    <row r="28" spans="2:20" ht="18">
      <c r="K28" s="17"/>
      <c r="L28" s="41"/>
      <c r="M28" s="42"/>
    </row>
    <row r="29" spans="2:20" ht="18">
      <c r="K29" s="17"/>
      <c r="L29" s="41"/>
      <c r="M29" s="42"/>
    </row>
    <row r="30" spans="2:20" ht="18">
      <c r="K30" s="17"/>
      <c r="L30" s="41"/>
      <c r="M30" s="42"/>
    </row>
    <row r="31" spans="2:20" ht="18">
      <c r="K31" s="17"/>
      <c r="L31" s="41"/>
      <c r="M31" s="42"/>
    </row>
    <row r="32" spans="2:20" ht="18">
      <c r="K32" s="17"/>
      <c r="L32" s="41"/>
      <c r="M32" s="42"/>
    </row>
    <row r="33" spans="11:13" ht="18">
      <c r="K33" s="17"/>
      <c r="L33" s="41"/>
      <c r="M33" s="42"/>
    </row>
    <row r="34" spans="11:13" ht="18">
      <c r="K34" s="17"/>
      <c r="L34" s="41"/>
      <c r="M34" s="42"/>
    </row>
    <row r="35" spans="11:13" ht="18">
      <c r="K35" s="17"/>
      <c r="L35" s="41"/>
      <c r="M35" s="42"/>
    </row>
    <row r="36" spans="11:13" ht="18">
      <c r="K36" s="41"/>
      <c r="L36" s="41"/>
      <c r="M36" s="42"/>
    </row>
    <row r="37" spans="11:13" ht="18">
      <c r="K37" s="41"/>
      <c r="L37" s="41"/>
      <c r="M37" s="42"/>
    </row>
    <row r="38" spans="11:13" ht="18">
      <c r="K38" s="41"/>
      <c r="L38" s="41"/>
      <c r="M38" s="42"/>
    </row>
    <row r="39" spans="11:13" ht="18">
      <c r="K39" s="41"/>
      <c r="L39" s="41"/>
      <c r="M39" s="42"/>
    </row>
    <row r="40" spans="11:13" ht="18">
      <c r="K40" s="41"/>
      <c r="L40" s="41"/>
      <c r="M40" s="42"/>
    </row>
    <row r="41" spans="11:13" ht="18">
      <c r="K41" s="41"/>
      <c r="L41" s="41"/>
      <c r="M41" s="42"/>
    </row>
    <row r="42" spans="11:13" ht="18">
      <c r="K42" s="41"/>
      <c r="L42" s="41"/>
      <c r="M42" s="42"/>
    </row>
    <row r="43" spans="11:13" ht="18">
      <c r="K43" s="41"/>
      <c r="L43" s="41"/>
      <c r="M43" s="42"/>
    </row>
    <row r="44" spans="11:13" ht="18">
      <c r="K44" s="41"/>
      <c r="L44" s="41"/>
      <c r="M44" s="42"/>
    </row>
    <row r="45" spans="11:13" ht="18">
      <c r="K45" s="41"/>
      <c r="L45" s="41"/>
      <c r="M45" s="42"/>
    </row>
    <row r="46" spans="11:13" ht="18">
      <c r="K46" s="41"/>
      <c r="L46" s="41"/>
      <c r="M46" s="42"/>
    </row>
    <row r="47" spans="11:13" ht="18">
      <c r="K47" s="41"/>
      <c r="L47" s="41"/>
      <c r="M47" s="42"/>
    </row>
    <row r="48" spans="11:13" ht="18">
      <c r="K48" s="41"/>
      <c r="L48" s="41"/>
      <c r="M48" s="42"/>
    </row>
    <row r="49" spans="11:13" ht="18">
      <c r="K49" s="41"/>
      <c r="L49" s="41"/>
      <c r="M49" s="42"/>
    </row>
    <row r="50" spans="11:13" ht="18">
      <c r="K50" s="41"/>
      <c r="L50" s="41"/>
      <c r="M50" s="42"/>
    </row>
    <row r="51" spans="11:13" ht="18">
      <c r="K51" s="41"/>
      <c r="L51" s="41"/>
      <c r="M51" s="42"/>
    </row>
    <row r="52" spans="11:13" ht="18">
      <c r="K52" s="41"/>
      <c r="L52" s="41"/>
      <c r="M52" s="42"/>
    </row>
  </sheetData>
  <mergeCells count="2">
    <mergeCell ref="B7:D7"/>
    <mergeCell ref="B6:P6"/>
  </mergeCells>
  <phoneticPr fontId="10" type="noConversion"/>
  <pageMargins left="0.75" right="0.75" top="1" bottom="1" header="0.5" footer="0.5"/>
  <ignoredErrors>
    <ignoredError sqref="O18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29"/>
  <sheetViews>
    <sheetView topLeftCell="B1" workbookViewId="0">
      <selection activeCell="P11" sqref="P11"/>
    </sheetView>
  </sheetViews>
  <sheetFormatPr baseColWidth="10" defaultColWidth="8.83203125" defaultRowHeight="12"/>
  <cols>
    <col min="1" max="1" width="9.5" style="65" customWidth="1"/>
    <col min="2" max="2" width="3" style="65" customWidth="1"/>
    <col min="3" max="3" width="1.6640625" style="65" customWidth="1"/>
    <col min="4" max="4" width="3" style="65" customWidth="1"/>
    <col min="5" max="5" width="2.1640625" style="65" customWidth="1"/>
    <col min="6" max="6" width="20.6640625" style="98" customWidth="1"/>
    <col min="7" max="7" width="2.83203125" style="98" customWidth="1"/>
    <col min="8" max="8" width="2.5" style="65" customWidth="1"/>
    <col min="9" max="9" width="8.1640625" style="65" customWidth="1"/>
    <col min="10" max="10" width="8" style="65" customWidth="1"/>
    <col min="11" max="11" width="9.6640625" style="65" customWidth="1"/>
    <col min="12" max="12" width="9.33203125" style="88" customWidth="1"/>
    <col min="13" max="13" width="10.83203125" style="88" customWidth="1"/>
    <col min="14" max="14" width="10.1640625" style="88" customWidth="1"/>
    <col min="15" max="15" width="8.1640625" style="65" customWidth="1"/>
    <col min="16" max="16" width="7.5" style="65" customWidth="1"/>
    <col min="17" max="17" width="10.1640625" style="65" customWidth="1"/>
    <col min="18" max="18" width="8.6640625" style="65" customWidth="1"/>
    <col min="19" max="19" width="9" style="65" bestFit="1" customWidth="1"/>
    <col min="20" max="20" width="18.5" style="66" customWidth="1"/>
    <col min="21" max="16384" width="8.83203125" style="65"/>
  </cols>
  <sheetData>
    <row r="1" spans="1:20" ht="18" thickBot="1">
      <c r="A1" s="63" t="str">
        <f ca="1">CELL("filename",A1)</f>
        <v>Macintosh HD:Users:JDAG:Documents:Lotdata:[Lotdata-Template.xlsx]PTMCoor</v>
      </c>
      <c r="B1" s="226" t="s">
        <v>55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64"/>
      <c r="Q1" s="87"/>
      <c r="R1" s="87"/>
      <c r="S1" s="87"/>
      <c r="T1" s="87"/>
    </row>
    <row r="2" spans="1:20" ht="13">
      <c r="A2" s="67" t="str">
        <f ca="1">RIGHT(CELL("filename",A1),LEN(CELL("filename",A1))-FIND("]",CELL("filename",A1),1))</f>
        <v>PTMCoor</v>
      </c>
      <c r="B2" s="142" t="s">
        <v>74</v>
      </c>
      <c r="C2" s="144"/>
      <c r="D2" s="144"/>
      <c r="E2" s="144"/>
      <c r="F2" s="201"/>
      <c r="G2" s="201"/>
      <c r="H2" s="146"/>
      <c r="I2" s="146"/>
      <c r="J2" s="146"/>
      <c r="K2" s="144" t="s">
        <v>84</v>
      </c>
      <c r="L2" s="202"/>
      <c r="M2" s="203" t="s">
        <v>75</v>
      </c>
      <c r="N2" s="203"/>
      <c r="O2" s="204"/>
      <c r="P2" s="68"/>
      <c r="Q2" s="87"/>
      <c r="R2" s="87"/>
      <c r="S2" s="87"/>
      <c r="T2" s="107"/>
    </row>
    <row r="3" spans="1:20">
      <c r="B3" s="149" t="s">
        <v>85</v>
      </c>
      <c r="C3" s="134"/>
      <c r="D3" s="134"/>
      <c r="E3" s="134"/>
      <c r="F3" s="136"/>
      <c r="G3" s="136"/>
      <c r="H3" s="138"/>
      <c r="I3" s="138"/>
      <c r="J3" s="138"/>
      <c r="K3" s="134" t="s">
        <v>86</v>
      </c>
      <c r="L3" s="205"/>
      <c r="M3" s="206">
        <f>F29</f>
        <v>2591670.85</v>
      </c>
      <c r="N3" s="206"/>
      <c r="O3" s="207"/>
      <c r="P3" s="69"/>
      <c r="Q3" s="87"/>
      <c r="R3" s="87"/>
      <c r="S3" s="87"/>
      <c r="T3" s="107"/>
    </row>
    <row r="4" spans="1:20">
      <c r="B4" s="149" t="s">
        <v>76</v>
      </c>
      <c r="C4" s="134"/>
      <c r="D4" s="134"/>
      <c r="E4" s="134"/>
      <c r="F4" s="136"/>
      <c r="G4" s="136"/>
      <c r="H4" s="138"/>
      <c r="I4" s="138"/>
      <c r="J4" s="138"/>
      <c r="K4" s="134" t="s">
        <v>47</v>
      </c>
      <c r="L4" s="205"/>
      <c r="M4" s="206"/>
      <c r="N4" s="206"/>
      <c r="O4" s="208"/>
      <c r="P4" s="68"/>
      <c r="Q4" s="87"/>
      <c r="R4" s="87"/>
      <c r="S4" s="87"/>
      <c r="T4" s="107"/>
    </row>
    <row r="5" spans="1:20">
      <c r="B5" s="209" t="s">
        <v>48</v>
      </c>
      <c r="C5" s="210"/>
      <c r="D5" s="210"/>
      <c r="E5" s="210"/>
      <c r="F5" s="211"/>
      <c r="G5" s="211"/>
      <c r="H5" s="212"/>
      <c r="I5" s="212"/>
      <c r="J5" s="212"/>
      <c r="K5" s="52" t="s">
        <v>49</v>
      </c>
      <c r="L5" s="213"/>
      <c r="M5" s="213"/>
      <c r="N5" s="213"/>
      <c r="O5" s="214"/>
      <c r="P5" s="68"/>
      <c r="Q5" s="87"/>
      <c r="R5" s="87"/>
      <c r="S5" s="87"/>
      <c r="T5" s="107"/>
    </row>
    <row r="6" spans="1:20" ht="13" thickBot="1">
      <c r="B6" s="151" t="s">
        <v>50</v>
      </c>
      <c r="C6" s="153"/>
      <c r="D6" s="153"/>
      <c r="E6" s="153"/>
      <c r="F6" s="215"/>
      <c r="G6" s="215"/>
      <c r="H6" s="155" t="s">
        <v>77</v>
      </c>
      <c r="I6" s="155"/>
      <c r="J6" s="155"/>
      <c r="K6" s="210" t="s">
        <v>103</v>
      </c>
      <c r="L6" s="216"/>
      <c r="M6" s="217"/>
      <c r="N6" s="217"/>
      <c r="O6" s="218"/>
      <c r="P6" s="68"/>
      <c r="Q6" s="87"/>
      <c r="R6" s="87"/>
      <c r="S6" s="87"/>
      <c r="T6" s="107"/>
    </row>
    <row r="7" spans="1:20" ht="13" thickBot="1">
      <c r="B7" s="228" t="s">
        <v>108</v>
      </c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30"/>
      <c r="P7" s="70"/>
      <c r="Q7" s="87"/>
      <c r="R7" s="87"/>
      <c r="S7" s="87"/>
      <c r="T7" s="107"/>
    </row>
    <row r="8" spans="1:20" s="71" customFormat="1">
      <c r="B8" s="231" t="s">
        <v>109</v>
      </c>
      <c r="C8" s="231"/>
      <c r="D8" s="232"/>
      <c r="E8" s="72" t="s">
        <v>110</v>
      </c>
      <c r="F8" s="73"/>
      <c r="G8" s="73"/>
      <c r="H8" s="72"/>
      <c r="I8" s="1" t="s">
        <v>67</v>
      </c>
      <c r="J8" s="1" t="s">
        <v>68</v>
      </c>
      <c r="K8" s="1" t="s">
        <v>69</v>
      </c>
      <c r="L8" s="74" t="s">
        <v>70</v>
      </c>
      <c r="M8" s="74" t="s">
        <v>71</v>
      </c>
      <c r="N8" s="75" t="s">
        <v>56</v>
      </c>
      <c r="O8" s="76" t="s">
        <v>72</v>
      </c>
      <c r="P8" s="112" t="s">
        <v>57</v>
      </c>
      <c r="Q8" s="112" t="s">
        <v>104</v>
      </c>
      <c r="R8" s="113" t="s">
        <v>105</v>
      </c>
      <c r="S8" s="114" t="s">
        <v>106</v>
      </c>
      <c r="T8" s="115" t="s">
        <v>107</v>
      </c>
    </row>
    <row r="9" spans="1:20" s="71" customFormat="1">
      <c r="B9" s="100"/>
      <c r="C9" s="100"/>
      <c r="D9" s="101" t="s">
        <v>98</v>
      </c>
      <c r="E9" s="77"/>
      <c r="F9" s="102"/>
      <c r="G9" s="102"/>
      <c r="H9" s="77"/>
      <c r="I9" s="103"/>
      <c r="J9" s="103"/>
      <c r="K9" s="103"/>
      <c r="L9" s="121">
        <f>VALUE(LOOKUP(P9,AdjoiningLots!$C$2:$C$3,AdjoiningLots!$K$2:$K$3))</f>
        <v>1684856.777</v>
      </c>
      <c r="M9" s="121">
        <f>VALUE(LOOKUP(P9,AdjoiningLots!$C$2:$C$3,AdjoiningLots!$J$2:$J$3))</f>
        <v>493322.27399999998</v>
      </c>
      <c r="N9" s="124" t="str">
        <f>CONCATENATE(D9," = ",P9)</f>
        <v>TP = NEJ-141</v>
      </c>
      <c r="O9" s="84" t="s">
        <v>99</v>
      </c>
      <c r="P9" s="116" t="s">
        <v>97</v>
      </c>
      <c r="Q9" s="112"/>
      <c r="R9" s="113"/>
      <c r="S9" s="113"/>
      <c r="T9" s="117" t="str">
        <f>CONCATENATE(M9,",",L9)</f>
        <v>493322.274,1684856.777</v>
      </c>
    </row>
    <row r="10" spans="1:20" s="71" customFormat="1">
      <c r="A10" s="78"/>
      <c r="B10" s="79" t="s">
        <v>98</v>
      </c>
      <c r="C10" s="123" t="s">
        <v>73</v>
      </c>
      <c r="D10" s="80">
        <v>1</v>
      </c>
      <c r="E10" s="191" t="str">
        <f>IF(J10&gt;0,"N","S")</f>
        <v>S</v>
      </c>
      <c r="F10" s="192" t="e">
        <f t="shared" ref="F10" si="0">TRUNC(Q10)</f>
        <v>#DIV/0!</v>
      </c>
      <c r="G10" s="192" t="e">
        <f t="shared" ref="G10:G26" si="1">(Q10-F10)*60</f>
        <v>#DIV/0!</v>
      </c>
      <c r="H10" s="193" t="str">
        <f>IF(K10&gt;0,"E","W")</f>
        <v>W</v>
      </c>
      <c r="I10" s="194">
        <f t="shared" ref="I10" si="2">SQRT(J10^2+K10^2)</f>
        <v>0</v>
      </c>
      <c r="J10" s="195">
        <f t="shared" ref="J10" si="3">L10-L9</f>
        <v>0</v>
      </c>
      <c r="K10" s="195">
        <f t="shared" ref="K10" si="4">M10-M9</f>
        <v>0</v>
      </c>
      <c r="L10" s="121">
        <f>VALUE(LOOKUP(P10,AdjoiningLots!$C$2:$C$3,AdjoiningLots!$K$2:$K$3))</f>
        <v>1684856.777</v>
      </c>
      <c r="M10" s="121">
        <f>VALUE(LOOKUP(P10,AdjoiningLots!$C$2:$C$3,AdjoiningLots!$J$2:$J$3))</f>
        <v>493322.27399999998</v>
      </c>
      <c r="N10" s="124" t="str">
        <f>CONCATENATE(D10," = ",P10)</f>
        <v>1 = MBM-1</v>
      </c>
      <c r="O10" s="84" t="s">
        <v>99</v>
      </c>
      <c r="P10" s="116" t="s">
        <v>78</v>
      </c>
      <c r="Q10" s="200" t="e">
        <f>DEGREES(ABS(ASIN((K10/I10))))</f>
        <v>#DIV/0!</v>
      </c>
      <c r="R10" s="198"/>
      <c r="S10" s="199"/>
      <c r="T10" s="117" t="str">
        <f>CONCATENATE(M10,",",L10)</f>
        <v>493322.274,1684856.777</v>
      </c>
    </row>
    <row r="11" spans="1:20">
      <c r="A11" s="78"/>
      <c r="B11" s="79">
        <v>1</v>
      </c>
      <c r="C11" s="123" t="s">
        <v>73</v>
      </c>
      <c r="D11" s="80">
        <v>2</v>
      </c>
      <c r="E11" s="191" t="str">
        <f t="shared" ref="E11:E26" si="5">IF(J11&gt;0,"N","S")</f>
        <v>N</v>
      </c>
      <c r="F11" s="192">
        <f t="shared" ref="F11:F26" si="6">TRUNC(Q11)</f>
        <v>27</v>
      </c>
      <c r="G11" s="192">
        <f t="shared" si="1"/>
        <v>52.671399781553276</v>
      </c>
      <c r="H11" s="193" t="str">
        <f t="shared" ref="H11:H26" si="7">IF(K11&gt;0,"E","W")</f>
        <v>E</v>
      </c>
      <c r="I11" s="194">
        <f t="shared" ref="I11:I26" si="8">SQRT(J11^2+K11^2)</f>
        <v>5352.8742956656624</v>
      </c>
      <c r="J11" s="195">
        <f t="shared" ref="J11:J26" si="9">L11-L10</f>
        <v>4731.6540000000969</v>
      </c>
      <c r="K11" s="195">
        <f t="shared" ref="K11:K26" si="10">M11-M10</f>
        <v>2502.9410000000498</v>
      </c>
      <c r="L11" s="190">
        <v>1689588.4310000001</v>
      </c>
      <c r="M11" s="190">
        <v>495825.21500000003</v>
      </c>
      <c r="N11" s="83"/>
      <c r="O11" s="84"/>
      <c r="P11" s="116"/>
      <c r="Q11" s="200">
        <f t="shared" ref="Q11:Q26" si="11">DEGREES(ABS(ASIN((K11/I11))))</f>
        <v>27.877856663025888</v>
      </c>
      <c r="R11" s="196">
        <f>K11</f>
        <v>2502.9410000000498</v>
      </c>
      <c r="S11" s="197">
        <f t="shared" ref="S11:S26" si="12">R11*J11</f>
        <v>11843050.794414477</v>
      </c>
      <c r="T11" s="117" t="str">
        <f>CONCATENATE(M11,",",L11)</f>
        <v>495825.215,1689588.431</v>
      </c>
    </row>
    <row r="12" spans="1:20">
      <c r="A12" s="85"/>
      <c r="B12" s="86">
        <f>B11+1</f>
        <v>2</v>
      </c>
      <c r="C12" s="123" t="s">
        <v>73</v>
      </c>
      <c r="D12" s="80">
        <f>D11+1</f>
        <v>3</v>
      </c>
      <c r="E12" s="191" t="str">
        <f t="shared" si="5"/>
        <v>N</v>
      </c>
      <c r="F12" s="192">
        <f t="shared" si="6"/>
        <v>4</v>
      </c>
      <c r="G12" s="192">
        <f t="shared" si="1"/>
        <v>30.620335462413912</v>
      </c>
      <c r="H12" s="193" t="str">
        <f t="shared" si="7"/>
        <v>E</v>
      </c>
      <c r="I12" s="194">
        <f t="shared" si="8"/>
        <v>145.67583479665424</v>
      </c>
      <c r="J12" s="195">
        <f t="shared" si="9"/>
        <v>145.22469999990426</v>
      </c>
      <c r="K12" s="195">
        <f t="shared" si="10"/>
        <v>11.455799999996088</v>
      </c>
      <c r="L12" s="190">
        <v>1689733.6557</v>
      </c>
      <c r="M12" s="190">
        <v>495836.67080000002</v>
      </c>
      <c r="N12" s="83"/>
      <c r="O12" s="84"/>
      <c r="P12" s="116"/>
      <c r="Q12" s="200">
        <f t="shared" si="11"/>
        <v>4.5103389243735652</v>
      </c>
      <c r="R12" s="196">
        <f t="shared" ref="R12:R26" si="13">R11+K11+K12</f>
        <v>5017.3378000000957</v>
      </c>
      <c r="S12" s="197">
        <f t="shared" si="12"/>
        <v>728641.37680319359</v>
      </c>
      <c r="T12" s="117" t="str">
        <f>CONCATENATE(M12,",",L12)</f>
        <v>495836.6708,1689733.6557</v>
      </c>
    </row>
    <row r="13" spans="1:20">
      <c r="A13" s="85"/>
      <c r="B13" s="86">
        <f t="shared" ref="B13:B26" si="14">B12+1</f>
        <v>3</v>
      </c>
      <c r="C13" s="123" t="s">
        <v>73</v>
      </c>
      <c r="D13" s="80">
        <f t="shared" ref="D13:D25" si="15">D12+1</f>
        <v>4</v>
      </c>
      <c r="E13" s="191" t="str">
        <f t="shared" si="5"/>
        <v>N</v>
      </c>
      <c r="F13" s="192">
        <f t="shared" si="6"/>
        <v>14</v>
      </c>
      <c r="G13" s="192">
        <f t="shared" si="1"/>
        <v>48.80510353055854</v>
      </c>
      <c r="H13" s="193" t="str">
        <f t="shared" si="7"/>
        <v>E</v>
      </c>
      <c r="I13" s="194">
        <f t="shared" si="8"/>
        <v>67.075347233369556</v>
      </c>
      <c r="J13" s="195">
        <f t="shared" si="9"/>
        <v>64.845999999903142</v>
      </c>
      <c r="K13" s="195">
        <f t="shared" si="10"/>
        <v>17.149299999990035</v>
      </c>
      <c r="L13" s="190">
        <v>1689798.5016999999</v>
      </c>
      <c r="M13" s="190">
        <v>495853.82010000001</v>
      </c>
      <c r="N13" s="83"/>
      <c r="O13" s="84"/>
      <c r="P13" s="116"/>
      <c r="Q13" s="200">
        <f t="shared" si="11"/>
        <v>14.813418392175976</v>
      </c>
      <c r="R13" s="196">
        <f t="shared" si="13"/>
        <v>5045.9429000000819</v>
      </c>
      <c r="S13" s="197">
        <f t="shared" si="12"/>
        <v>327209.2132929166</v>
      </c>
      <c r="T13" s="117" t="str">
        <f t="shared" ref="T13:T26" si="16">CONCATENATE(M13,",",L13)</f>
        <v>495853.8201,1689798.5017</v>
      </c>
    </row>
    <row r="14" spans="1:20">
      <c r="A14" s="85"/>
      <c r="B14" s="86">
        <f t="shared" si="14"/>
        <v>4</v>
      </c>
      <c r="C14" s="123" t="s">
        <v>73</v>
      </c>
      <c r="D14" s="80">
        <f t="shared" si="15"/>
        <v>5</v>
      </c>
      <c r="E14" s="191" t="str">
        <f t="shared" si="5"/>
        <v>N</v>
      </c>
      <c r="F14" s="192">
        <f t="shared" si="6"/>
        <v>7</v>
      </c>
      <c r="G14" s="192">
        <f t="shared" si="1"/>
        <v>37.116897111618798</v>
      </c>
      <c r="H14" s="193" t="str">
        <f t="shared" si="7"/>
        <v>E</v>
      </c>
      <c r="I14" s="194">
        <f t="shared" si="8"/>
        <v>90.345018950178911</v>
      </c>
      <c r="J14" s="195">
        <f t="shared" si="9"/>
        <v>89.547500000102445</v>
      </c>
      <c r="K14" s="195">
        <f t="shared" si="10"/>
        <v>11.977799999993294</v>
      </c>
      <c r="L14" s="190">
        <v>1689888.0492</v>
      </c>
      <c r="M14" s="190">
        <v>495865.79790000001</v>
      </c>
      <c r="N14" s="83"/>
      <c r="O14" s="84"/>
      <c r="P14" s="116"/>
      <c r="Q14" s="200">
        <f t="shared" si="11"/>
        <v>7.6186149518603132</v>
      </c>
      <c r="R14" s="196">
        <f t="shared" si="13"/>
        <v>5075.0700000000652</v>
      </c>
      <c r="S14" s="197">
        <f t="shared" si="12"/>
        <v>454459.83082552574</v>
      </c>
      <c r="T14" s="117" t="str">
        <f t="shared" si="16"/>
        <v>495865.7979,1689888.0492</v>
      </c>
    </row>
    <row r="15" spans="1:20">
      <c r="A15" s="85"/>
      <c r="B15" s="86">
        <f t="shared" si="14"/>
        <v>5</v>
      </c>
      <c r="C15" s="123" t="s">
        <v>73</v>
      </c>
      <c r="D15" s="80">
        <f t="shared" si="15"/>
        <v>6</v>
      </c>
      <c r="E15" s="191" t="str">
        <f t="shared" si="5"/>
        <v>N</v>
      </c>
      <c r="F15" s="192">
        <f t="shared" si="6"/>
        <v>19</v>
      </c>
      <c r="G15" s="192">
        <f t="shared" si="1"/>
        <v>20.3812440342179</v>
      </c>
      <c r="H15" s="193" t="str">
        <f t="shared" si="7"/>
        <v>E</v>
      </c>
      <c r="I15" s="194">
        <f t="shared" si="8"/>
        <v>202.26346618265737</v>
      </c>
      <c r="J15" s="195">
        <f t="shared" si="9"/>
        <v>190.85009999992326</v>
      </c>
      <c r="K15" s="195">
        <f t="shared" si="10"/>
        <v>66.98320000001695</v>
      </c>
      <c r="L15" s="190">
        <v>1690078.8992999999</v>
      </c>
      <c r="M15" s="190">
        <v>495932.78110000002</v>
      </c>
      <c r="N15" s="83"/>
      <c r="O15" s="84"/>
      <c r="P15" s="116"/>
      <c r="Q15" s="200">
        <f t="shared" si="11"/>
        <v>19.339687400570298</v>
      </c>
      <c r="R15" s="196">
        <f t="shared" si="13"/>
        <v>5154.0310000000754</v>
      </c>
      <c r="S15" s="197">
        <f t="shared" si="12"/>
        <v>983647.33175271889</v>
      </c>
      <c r="T15" s="117" t="str">
        <f t="shared" si="16"/>
        <v>495932.7811,1690078.8993</v>
      </c>
    </row>
    <row r="16" spans="1:20">
      <c r="A16" s="85"/>
      <c r="B16" s="86">
        <f t="shared" si="14"/>
        <v>6</v>
      </c>
      <c r="C16" s="123" t="s">
        <v>73</v>
      </c>
      <c r="D16" s="80">
        <f t="shared" si="15"/>
        <v>7</v>
      </c>
      <c r="E16" s="191" t="str">
        <f t="shared" si="5"/>
        <v>N</v>
      </c>
      <c r="F16" s="192">
        <f t="shared" si="6"/>
        <v>22</v>
      </c>
      <c r="G16" s="192">
        <f t="shared" si="1"/>
        <v>26.926100513388391</v>
      </c>
      <c r="H16" s="193" t="str">
        <f t="shared" si="7"/>
        <v>E</v>
      </c>
      <c r="I16" s="194">
        <f t="shared" si="8"/>
        <v>148.40600785025009</v>
      </c>
      <c r="J16" s="195">
        <f t="shared" si="9"/>
        <v>137.16000000014901</v>
      </c>
      <c r="K16" s="195">
        <f t="shared" si="10"/>
        <v>56.669899999978952</v>
      </c>
      <c r="L16" s="190">
        <v>1690216.0593000001</v>
      </c>
      <c r="M16" s="190">
        <v>495989.451</v>
      </c>
      <c r="N16" s="83"/>
      <c r="O16" s="84"/>
      <c r="P16" s="116"/>
      <c r="Q16" s="200">
        <f t="shared" si="11"/>
        <v>22.448768341889807</v>
      </c>
      <c r="R16" s="196">
        <f t="shared" si="13"/>
        <v>5277.6841000000713</v>
      </c>
      <c r="S16" s="197">
        <f t="shared" si="12"/>
        <v>723887.15115679626</v>
      </c>
      <c r="T16" s="117" t="str">
        <f t="shared" si="16"/>
        <v>495989.451,1690216.0593</v>
      </c>
    </row>
    <row r="17" spans="1:20">
      <c r="A17" s="85"/>
      <c r="B17" s="86">
        <f t="shared" si="14"/>
        <v>7</v>
      </c>
      <c r="C17" s="123" t="s">
        <v>73</v>
      </c>
      <c r="D17" s="80">
        <f t="shared" si="15"/>
        <v>8</v>
      </c>
      <c r="E17" s="191" t="str">
        <f t="shared" si="5"/>
        <v>N</v>
      </c>
      <c r="F17" s="192">
        <f t="shared" si="6"/>
        <v>23</v>
      </c>
      <c r="G17" s="192">
        <f t="shared" si="1"/>
        <v>49.158033139506188</v>
      </c>
      <c r="H17" s="193" t="str">
        <f t="shared" si="7"/>
        <v>E</v>
      </c>
      <c r="I17" s="194">
        <f t="shared" si="8"/>
        <v>231.36633320335562</v>
      </c>
      <c r="J17" s="195">
        <f t="shared" si="9"/>
        <v>211.6594000000041</v>
      </c>
      <c r="K17" s="195">
        <f t="shared" si="10"/>
        <v>93.438099999970291</v>
      </c>
      <c r="L17" s="190">
        <v>1690427.7187000001</v>
      </c>
      <c r="M17" s="190">
        <v>496082.88909999997</v>
      </c>
      <c r="N17" s="83"/>
      <c r="O17" s="84"/>
      <c r="P17" s="116"/>
      <c r="Q17" s="200">
        <f t="shared" si="11"/>
        <v>23.819300552325103</v>
      </c>
      <c r="R17" s="196">
        <f t="shared" si="13"/>
        <v>5427.7921000000206</v>
      </c>
      <c r="S17" s="197">
        <f t="shared" si="12"/>
        <v>1148843.2192107665</v>
      </c>
      <c r="T17" s="117" t="str">
        <f t="shared" si="16"/>
        <v>496082.8891,1690427.7187</v>
      </c>
    </row>
    <row r="18" spans="1:20">
      <c r="A18" s="85"/>
      <c r="B18" s="86">
        <f t="shared" si="14"/>
        <v>8</v>
      </c>
      <c r="C18" s="123" t="s">
        <v>73</v>
      </c>
      <c r="D18" s="80">
        <f t="shared" si="15"/>
        <v>9</v>
      </c>
      <c r="E18" s="191" t="str">
        <f t="shared" si="5"/>
        <v>N</v>
      </c>
      <c r="F18" s="192">
        <f t="shared" si="6"/>
        <v>27</v>
      </c>
      <c r="G18" s="192">
        <f t="shared" si="1"/>
        <v>33.973761975416252</v>
      </c>
      <c r="H18" s="193" t="str">
        <f t="shared" si="7"/>
        <v>E</v>
      </c>
      <c r="I18" s="194">
        <f t="shared" si="8"/>
        <v>209.53787363178839</v>
      </c>
      <c r="J18" s="195">
        <f t="shared" si="9"/>
        <v>185.750400000019</v>
      </c>
      <c r="K18" s="195">
        <f t="shared" si="10"/>
        <v>96.968600000021979</v>
      </c>
      <c r="L18" s="190">
        <v>1690613.4691000001</v>
      </c>
      <c r="M18" s="190">
        <v>496179.85769999999</v>
      </c>
      <c r="N18" s="83"/>
      <c r="O18" s="84"/>
      <c r="P18" s="116"/>
      <c r="Q18" s="200">
        <f t="shared" si="11"/>
        <v>27.566229366256938</v>
      </c>
      <c r="R18" s="196">
        <f t="shared" si="13"/>
        <v>5618.1988000000129</v>
      </c>
      <c r="S18" s="197">
        <f t="shared" si="12"/>
        <v>1043582.6743796291</v>
      </c>
      <c r="T18" s="117" t="str">
        <f t="shared" si="16"/>
        <v>496179.8577,1690613.4691</v>
      </c>
    </row>
    <row r="19" spans="1:20">
      <c r="A19" s="85"/>
      <c r="B19" s="86">
        <f t="shared" si="14"/>
        <v>9</v>
      </c>
      <c r="C19" s="123" t="s">
        <v>73</v>
      </c>
      <c r="D19" s="80">
        <f t="shared" si="15"/>
        <v>10</v>
      </c>
      <c r="E19" s="191" t="str">
        <f t="shared" si="5"/>
        <v>N</v>
      </c>
      <c r="F19" s="192">
        <f t="shared" si="6"/>
        <v>41</v>
      </c>
      <c r="G19" s="192">
        <f t="shared" si="1"/>
        <v>13.919663506578246</v>
      </c>
      <c r="H19" s="193" t="str">
        <f t="shared" si="7"/>
        <v>E</v>
      </c>
      <c r="I19" s="194">
        <f t="shared" si="8"/>
        <v>243.69182540136472</v>
      </c>
      <c r="J19" s="195">
        <f t="shared" si="9"/>
        <v>183.26769999996759</v>
      </c>
      <c r="K19" s="195">
        <f t="shared" si="10"/>
        <v>160.61960000003455</v>
      </c>
      <c r="L19" s="190">
        <v>1690796.7368000001</v>
      </c>
      <c r="M19" s="190">
        <v>496340.47730000003</v>
      </c>
      <c r="N19" s="83"/>
      <c r="O19" s="84"/>
      <c r="P19" s="116"/>
      <c r="Q19" s="200">
        <f t="shared" si="11"/>
        <v>41.231994391776304</v>
      </c>
      <c r="R19" s="196">
        <f t="shared" si="13"/>
        <v>5875.7870000000694</v>
      </c>
      <c r="S19" s="197">
        <f t="shared" si="12"/>
        <v>1076841.9691797222</v>
      </c>
      <c r="T19" s="117" t="str">
        <f t="shared" si="16"/>
        <v>496340.4773,1690796.7368</v>
      </c>
    </row>
    <row r="20" spans="1:20">
      <c r="A20" s="85"/>
      <c r="B20" s="86">
        <f t="shared" si="14"/>
        <v>10</v>
      </c>
      <c r="C20" s="123" t="s">
        <v>73</v>
      </c>
      <c r="D20" s="80">
        <f t="shared" si="15"/>
        <v>11</v>
      </c>
      <c r="E20" s="191" t="str">
        <f t="shared" si="5"/>
        <v>N</v>
      </c>
      <c r="F20" s="192">
        <f t="shared" si="6"/>
        <v>27</v>
      </c>
      <c r="G20" s="192">
        <f t="shared" si="1"/>
        <v>35.017215455962045</v>
      </c>
      <c r="H20" s="193" t="str">
        <f t="shared" si="7"/>
        <v>E</v>
      </c>
      <c r="I20" s="194">
        <f t="shared" si="8"/>
        <v>222.66781690283983</v>
      </c>
      <c r="J20" s="195">
        <f t="shared" si="9"/>
        <v>197.35849999985658</v>
      </c>
      <c r="K20" s="195">
        <f t="shared" si="10"/>
        <v>103.10469999996712</v>
      </c>
      <c r="L20" s="190">
        <v>1690994.0952999999</v>
      </c>
      <c r="M20" s="190">
        <v>496443.58199999999</v>
      </c>
      <c r="N20" s="83"/>
      <c r="O20" s="84"/>
      <c r="P20" s="116"/>
      <c r="Q20" s="200">
        <f t="shared" si="11"/>
        <v>27.583620257599367</v>
      </c>
      <c r="R20" s="196">
        <f t="shared" si="13"/>
        <v>6139.5113000000711</v>
      </c>
      <c r="S20" s="197">
        <f t="shared" si="12"/>
        <v>1211684.7409001836</v>
      </c>
      <c r="T20" s="117" t="str">
        <f t="shared" si="16"/>
        <v>496443.582,1690994.0953</v>
      </c>
    </row>
    <row r="21" spans="1:20">
      <c r="A21" s="85"/>
      <c r="B21" s="86">
        <f t="shared" si="14"/>
        <v>11</v>
      </c>
      <c r="C21" s="123" t="s">
        <v>73</v>
      </c>
      <c r="D21" s="80">
        <f t="shared" si="15"/>
        <v>12</v>
      </c>
      <c r="E21" s="191" t="str">
        <f t="shared" si="5"/>
        <v>N</v>
      </c>
      <c r="F21" s="192">
        <f t="shared" si="6"/>
        <v>28</v>
      </c>
      <c r="G21" s="192">
        <f t="shared" si="1"/>
        <v>12.564692043882602</v>
      </c>
      <c r="H21" s="193" t="str">
        <f t="shared" si="7"/>
        <v>E</v>
      </c>
      <c r="I21" s="194">
        <f t="shared" si="8"/>
        <v>93.109618818918165</v>
      </c>
      <c r="J21" s="195">
        <f t="shared" si="9"/>
        <v>82.050599999958649</v>
      </c>
      <c r="K21" s="195">
        <f t="shared" si="10"/>
        <v>44.012500000011642</v>
      </c>
      <c r="L21" s="190">
        <v>1691076.1458999999</v>
      </c>
      <c r="M21" s="190">
        <v>496487.59450000001</v>
      </c>
      <c r="N21" s="83"/>
      <c r="O21" s="84"/>
      <c r="P21" s="116"/>
      <c r="Q21" s="200">
        <f t="shared" si="11"/>
        <v>28.20941153406471</v>
      </c>
      <c r="R21" s="196">
        <f t="shared" si="13"/>
        <v>6286.6285000000498</v>
      </c>
      <c r="S21" s="197">
        <f t="shared" si="12"/>
        <v>515821.64040184411</v>
      </c>
      <c r="T21" s="117" t="str">
        <f t="shared" si="16"/>
        <v>496487.5945,1691076.1459</v>
      </c>
    </row>
    <row r="22" spans="1:20">
      <c r="A22" s="85"/>
      <c r="B22" s="86">
        <f t="shared" si="14"/>
        <v>12</v>
      </c>
      <c r="C22" s="123" t="s">
        <v>73</v>
      </c>
      <c r="D22" s="80">
        <f t="shared" si="15"/>
        <v>13</v>
      </c>
      <c r="E22" s="191" t="str">
        <f t="shared" si="5"/>
        <v>N</v>
      </c>
      <c r="F22" s="192">
        <f t="shared" si="6"/>
        <v>8</v>
      </c>
      <c r="G22" s="192">
        <f t="shared" si="1"/>
        <v>57.247599161871321</v>
      </c>
      <c r="H22" s="193" t="str">
        <f t="shared" si="7"/>
        <v>E</v>
      </c>
      <c r="I22" s="194">
        <f t="shared" si="8"/>
        <v>150.36657659129304</v>
      </c>
      <c r="J22" s="195">
        <f t="shared" si="9"/>
        <v>148.53410000004806</v>
      </c>
      <c r="K22" s="195">
        <f t="shared" si="10"/>
        <v>23.403600000019651</v>
      </c>
      <c r="L22" s="190">
        <v>1691224.68</v>
      </c>
      <c r="M22" s="190">
        <v>496510.99810000003</v>
      </c>
      <c r="N22" s="83"/>
      <c r="O22" s="84"/>
      <c r="P22" s="116"/>
      <c r="Q22" s="200">
        <f t="shared" si="11"/>
        <v>8.9541266526978553</v>
      </c>
      <c r="R22" s="196">
        <f t="shared" si="13"/>
        <v>6354.0446000000811</v>
      </c>
      <c r="S22" s="197">
        <f t="shared" si="12"/>
        <v>943792.29602117743</v>
      </c>
      <c r="T22" s="117" t="str">
        <f t="shared" si="16"/>
        <v>496510.9981,1691224.68</v>
      </c>
    </row>
    <row r="23" spans="1:20">
      <c r="A23" s="85"/>
      <c r="B23" s="86">
        <f t="shared" si="14"/>
        <v>13</v>
      </c>
      <c r="C23" s="123" t="s">
        <v>73</v>
      </c>
      <c r="D23" s="80">
        <f t="shared" si="15"/>
        <v>14</v>
      </c>
      <c r="E23" s="191" t="str">
        <f t="shared" si="5"/>
        <v>S</v>
      </c>
      <c r="F23" s="192">
        <f t="shared" si="6"/>
        <v>48</v>
      </c>
      <c r="G23" s="192">
        <f t="shared" si="1"/>
        <v>46.828974414078317</v>
      </c>
      <c r="H23" s="193" t="str">
        <f t="shared" si="7"/>
        <v>E</v>
      </c>
      <c r="I23" s="194">
        <f t="shared" si="8"/>
        <v>871.85481329499237</v>
      </c>
      <c r="J23" s="195">
        <f t="shared" si="9"/>
        <v>-574.50499999988824</v>
      </c>
      <c r="K23" s="195">
        <f t="shared" si="10"/>
        <v>655.8008999999729</v>
      </c>
      <c r="L23" s="190">
        <v>1690650.175</v>
      </c>
      <c r="M23" s="190">
        <v>497166.799</v>
      </c>
      <c r="N23" s="83"/>
      <c r="O23" s="84"/>
      <c r="P23" s="116"/>
      <c r="Q23" s="200">
        <f t="shared" si="11"/>
        <v>48.780482906901305</v>
      </c>
      <c r="R23" s="196">
        <f t="shared" si="13"/>
        <v>7033.2491000000737</v>
      </c>
      <c r="S23" s="197">
        <f t="shared" si="12"/>
        <v>-4040636.7741947565</v>
      </c>
      <c r="T23" s="117" t="str">
        <f t="shared" si="16"/>
        <v>497166.799,1690650.175</v>
      </c>
    </row>
    <row r="24" spans="1:20">
      <c r="A24" s="85"/>
      <c r="B24" s="86">
        <f t="shared" si="14"/>
        <v>14</v>
      </c>
      <c r="C24" s="123" t="s">
        <v>73</v>
      </c>
      <c r="D24" s="80">
        <f t="shared" si="15"/>
        <v>15</v>
      </c>
      <c r="E24" s="191" t="str">
        <f t="shared" si="5"/>
        <v>S</v>
      </c>
      <c r="F24" s="192">
        <f t="shared" si="6"/>
        <v>3</v>
      </c>
      <c r="G24" s="192">
        <f t="shared" si="1"/>
        <v>41.228946232184299</v>
      </c>
      <c r="H24" s="193" t="str">
        <f t="shared" si="7"/>
        <v>E</v>
      </c>
      <c r="I24" s="194">
        <f t="shared" si="8"/>
        <v>1661.6314655521944</v>
      </c>
      <c r="J24" s="195">
        <f t="shared" si="9"/>
        <v>-1658.1920000000391</v>
      </c>
      <c r="K24" s="195">
        <f t="shared" si="10"/>
        <v>106.85700000001816</v>
      </c>
      <c r="L24" s="190">
        <v>1688991.983</v>
      </c>
      <c r="M24" s="190">
        <v>497273.65600000002</v>
      </c>
      <c r="N24" s="83"/>
      <c r="O24" s="84"/>
      <c r="P24" s="116"/>
      <c r="Q24" s="200">
        <f t="shared" si="11"/>
        <v>3.6871491038697384</v>
      </c>
      <c r="R24" s="196">
        <f t="shared" si="13"/>
        <v>7795.9070000000647</v>
      </c>
      <c r="S24" s="197">
        <f t="shared" si="12"/>
        <v>-12927110.620144412</v>
      </c>
      <c r="T24" s="117" t="str">
        <f t="shared" si="16"/>
        <v>497273.656,1688991.983</v>
      </c>
    </row>
    <row r="25" spans="1:20">
      <c r="A25" s="85"/>
      <c r="B25" s="86">
        <f t="shared" si="14"/>
        <v>15</v>
      </c>
      <c r="C25" s="123" t="s">
        <v>73</v>
      </c>
      <c r="D25" s="80">
        <f t="shared" si="15"/>
        <v>16</v>
      </c>
      <c r="E25" s="191" t="str">
        <f t="shared" si="5"/>
        <v>S</v>
      </c>
      <c r="F25" s="192">
        <f t="shared" si="6"/>
        <v>21</v>
      </c>
      <c r="G25" s="192">
        <f t="shared" si="1"/>
        <v>34.666599818717927</v>
      </c>
      <c r="H25" s="193" t="str">
        <f t="shared" si="7"/>
        <v>W</v>
      </c>
      <c r="I25" s="194">
        <f t="shared" si="8"/>
        <v>969.55412842097962</v>
      </c>
      <c r="J25" s="195">
        <f t="shared" si="9"/>
        <v>-901.60700000007637</v>
      </c>
      <c r="K25" s="195">
        <f t="shared" si="10"/>
        <v>-356.56700000003912</v>
      </c>
      <c r="L25" s="190">
        <v>1688090.3759999999</v>
      </c>
      <c r="M25" s="190">
        <v>496917.08899999998</v>
      </c>
      <c r="N25" s="83"/>
      <c r="O25" s="84"/>
      <c r="P25" s="116"/>
      <c r="Q25" s="200">
        <f t="shared" si="11"/>
        <v>21.577776663645299</v>
      </c>
      <c r="R25" s="196">
        <f t="shared" si="13"/>
        <v>7546.1970000000438</v>
      </c>
      <c r="S25" s="197">
        <f t="shared" si="12"/>
        <v>-6803704.0385796158</v>
      </c>
      <c r="T25" s="117" t="str">
        <f t="shared" si="16"/>
        <v>496917.089,1688090.376</v>
      </c>
    </row>
    <row r="26" spans="1:20">
      <c r="A26" s="85"/>
      <c r="B26" s="86">
        <f t="shared" si="14"/>
        <v>16</v>
      </c>
      <c r="C26" s="123" t="s">
        <v>73</v>
      </c>
      <c r="D26" s="80">
        <v>1</v>
      </c>
      <c r="E26" s="191" t="str">
        <f t="shared" si="5"/>
        <v>N</v>
      </c>
      <c r="F26" s="192">
        <f t="shared" si="6"/>
        <v>41</v>
      </c>
      <c r="G26" s="192">
        <f t="shared" si="1"/>
        <v>48.240030063075352</v>
      </c>
      <c r="H26" s="193" t="str">
        <f t="shared" si="7"/>
        <v>W</v>
      </c>
      <c r="I26" s="194">
        <f t="shared" si="8"/>
        <v>1776.6644227577078</v>
      </c>
      <c r="J26" s="195">
        <f t="shared" si="9"/>
        <v>1324.3780000000261</v>
      </c>
      <c r="K26" s="195">
        <f t="shared" si="10"/>
        <v>-1184.2969999999623</v>
      </c>
      <c r="L26" s="190">
        <v>1689414.754</v>
      </c>
      <c r="M26" s="190">
        <v>495732.79200000002</v>
      </c>
      <c r="N26" s="83"/>
      <c r="O26" s="84"/>
      <c r="P26" s="116"/>
      <c r="Q26" s="200">
        <f t="shared" si="11"/>
        <v>41.804000501051256</v>
      </c>
      <c r="R26" s="196">
        <f t="shared" si="13"/>
        <v>6005.3330000000424</v>
      </c>
      <c r="S26" s="197">
        <f t="shared" si="12"/>
        <v>7953330.9078742126</v>
      </c>
      <c r="T26" s="117" t="str">
        <f t="shared" si="16"/>
        <v>495732.792,1689414.754</v>
      </c>
    </row>
    <row r="27" spans="1:20" ht="11" customHeight="1">
      <c r="B27" s="89"/>
      <c r="C27" s="89"/>
      <c r="D27" s="90"/>
      <c r="E27" s="91"/>
      <c r="F27" s="82"/>
      <c r="G27" s="82"/>
      <c r="H27" s="91"/>
      <c r="I27" s="92"/>
      <c r="J27" s="93"/>
      <c r="K27" s="94"/>
      <c r="L27" s="95"/>
      <c r="M27" s="95"/>
      <c r="N27" s="92"/>
      <c r="O27" s="96"/>
      <c r="P27" s="97"/>
      <c r="Q27" s="118"/>
      <c r="R27" s="119"/>
      <c r="S27" s="120"/>
      <c r="T27" s="107"/>
    </row>
    <row r="28" spans="1:20" s="87" customFormat="1">
      <c r="B28" s="89"/>
      <c r="C28" s="89"/>
      <c r="D28" s="104"/>
      <c r="E28" s="81"/>
      <c r="F28" s="105"/>
      <c r="G28" s="105"/>
      <c r="H28" s="92"/>
      <c r="I28" s="92"/>
      <c r="J28" s="106">
        <f>SUM(J11:J26)</f>
        <v>4557.9769999999553</v>
      </c>
      <c r="K28" s="106">
        <f>SUM(K11:K26)</f>
        <v>2410.51800000004</v>
      </c>
      <c r="L28" s="94"/>
      <c r="M28" s="94"/>
      <c r="N28" s="94"/>
      <c r="O28" s="96"/>
      <c r="P28" s="97"/>
      <c r="Q28" s="118"/>
      <c r="R28" s="119"/>
      <c r="S28" s="120"/>
      <c r="T28" s="107"/>
    </row>
    <row r="29" spans="1:20" s="87" customFormat="1" ht="13" thickBot="1">
      <c r="B29" s="235" t="s">
        <v>43</v>
      </c>
      <c r="C29" s="235"/>
      <c r="D29" s="236"/>
      <c r="E29" s="237"/>
      <c r="F29" s="122">
        <f>TRUNC(ABS(SUM(S11:S26))/2,2)</f>
        <v>2591670.85</v>
      </c>
      <c r="G29" s="233" t="s">
        <v>44</v>
      </c>
      <c r="H29" s="233"/>
      <c r="I29" s="108"/>
      <c r="J29" s="234" t="s">
        <v>1</v>
      </c>
      <c r="K29" s="234"/>
      <c r="L29" s="234"/>
      <c r="M29" s="109">
        <f>SUM(I10:I26)/F29</f>
        <v>4.7988674353667271E-3</v>
      </c>
      <c r="N29" s="109"/>
      <c r="O29" s="110"/>
      <c r="P29" s="111"/>
      <c r="Q29" s="118"/>
      <c r="R29" s="119"/>
      <c r="S29" s="120"/>
      <c r="T29" s="107"/>
    </row>
  </sheetData>
  <mergeCells count="6">
    <mergeCell ref="B1:O1"/>
    <mergeCell ref="B7:O7"/>
    <mergeCell ref="B8:D8"/>
    <mergeCell ref="G29:H29"/>
    <mergeCell ref="J29:L29"/>
    <mergeCell ref="B29:E29"/>
  </mergeCells>
  <phoneticPr fontId="10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3"/>
  <sheetViews>
    <sheetView tabSelected="1" workbookViewId="0">
      <selection activeCell="C13" sqref="C13"/>
    </sheetView>
  </sheetViews>
  <sheetFormatPr baseColWidth="10" defaultColWidth="12.83203125" defaultRowHeight="12"/>
  <cols>
    <col min="10" max="10" width="12.83203125" style="220"/>
    <col min="11" max="11" width="13.1640625" style="220" bestFit="1" customWidth="1"/>
    <col min="15" max="15" width="14.5" customWidth="1"/>
  </cols>
  <sheetData>
    <row r="1" spans="1:17">
      <c r="A1" t="s">
        <v>100</v>
      </c>
      <c r="B1" t="s">
        <v>101</v>
      </c>
      <c r="C1" t="s">
        <v>102</v>
      </c>
      <c r="D1" t="s">
        <v>58</v>
      </c>
      <c r="E1" t="s">
        <v>59</v>
      </c>
      <c r="F1" s="99" t="s">
        <v>60</v>
      </c>
      <c r="G1" t="s">
        <v>61</v>
      </c>
      <c r="H1" t="s">
        <v>62</v>
      </c>
      <c r="I1" t="s">
        <v>63</v>
      </c>
      <c r="J1" s="220" t="s">
        <v>10</v>
      </c>
      <c r="K1" s="220" t="s">
        <v>11</v>
      </c>
      <c r="L1" s="99" t="s">
        <v>12</v>
      </c>
      <c r="M1" t="s">
        <v>13</v>
      </c>
      <c r="N1" t="s">
        <v>14</v>
      </c>
      <c r="O1" t="s">
        <v>15</v>
      </c>
    </row>
    <row r="2" spans="1:17">
      <c r="A2">
        <v>2</v>
      </c>
      <c r="B2" t="s">
        <v>0</v>
      </c>
      <c r="C2" t="s">
        <v>16</v>
      </c>
      <c r="D2" t="s">
        <v>17</v>
      </c>
      <c r="E2" t="s">
        <v>18</v>
      </c>
      <c r="F2" s="99">
        <v>23.103000000000002</v>
      </c>
      <c r="G2" t="s">
        <v>19</v>
      </c>
      <c r="H2" t="s">
        <v>20</v>
      </c>
      <c r="I2" t="s">
        <v>16</v>
      </c>
      <c r="J2" s="220" t="s">
        <v>21</v>
      </c>
      <c r="K2" s="220" t="s">
        <v>22</v>
      </c>
      <c r="L2" s="99" t="s">
        <v>23</v>
      </c>
      <c r="M2" t="s">
        <v>24</v>
      </c>
      <c r="N2" t="s">
        <v>82</v>
      </c>
      <c r="O2" t="s">
        <v>83</v>
      </c>
      <c r="P2" t="str">
        <f>LOOKUP(O2,AdjoiningLots!$C$2:$C$3,AdjoiningLots!$J$2:$J$3)</f>
        <v>495077.690</v>
      </c>
      <c r="Q2" t="str">
        <f>LOOKUP(O2,AdjoiningLots!$C$2:$C$3,AdjoiningLots!$K$2:$K$3)</f>
        <v>1694078.821</v>
      </c>
    </row>
    <row r="3" spans="1:17">
      <c r="A3">
        <v>311</v>
      </c>
      <c r="B3" t="s">
        <v>0</v>
      </c>
      <c r="C3" t="s">
        <v>81</v>
      </c>
      <c r="D3" t="s">
        <v>8</v>
      </c>
      <c r="E3" t="s">
        <v>9</v>
      </c>
      <c r="F3" s="99" t="s">
        <v>79</v>
      </c>
      <c r="H3" t="s">
        <v>25</v>
      </c>
      <c r="I3" t="str">
        <f>C3</f>
        <v>MBM-1</v>
      </c>
      <c r="J3" s="220">
        <f>P3</f>
        <v>493322.27399999998</v>
      </c>
      <c r="K3" s="220">
        <f>O3</f>
        <v>1684856.777</v>
      </c>
      <c r="L3" s="99" t="s">
        <v>80</v>
      </c>
      <c r="M3" t="s">
        <v>24</v>
      </c>
      <c r="N3" t="s">
        <v>82</v>
      </c>
      <c r="O3" s="219">
        <v>1684856.777</v>
      </c>
      <c r="P3" s="219">
        <v>493322.27399999998</v>
      </c>
    </row>
  </sheetData>
  <sheetCalcPr fullCalcOnLoad="1"/>
  <autoFilter ref="A1:Q3"/>
  <phoneticPr fontId="10" type="noConversion"/>
  <pageMargins left="0.75" right="0.75" top="1" bottom="1" header="0.5" footer="0.5"/>
  <pageSetup paperSize="0" orientation="portrait" horizontalDpi="4294967292" verticalDpi="4294967292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BLLM</vt:lpstr>
      <vt:lpstr>BearDist</vt:lpstr>
      <vt:lpstr>PTMCoor</vt:lpstr>
      <vt:lpstr>AdjoiningLots</vt:lpstr>
    </vt:vector>
  </TitlesOfParts>
  <Manager/>
  <Company>GeoIDEx Surveying and Mapping Systems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Lotdata Template</dc:title>
  <dc:subject>Bearing and Distance | PTM Coordinates</dc:subject>
  <dc:creator>James Dexter A. Grageda</dc:creator>
  <cp:keywords/>
  <dc:description/>
  <cp:lastModifiedBy>James Dexter Grageda</cp:lastModifiedBy>
  <cp:lastPrinted>2016-01-18T04:52:07Z</cp:lastPrinted>
  <dcterms:created xsi:type="dcterms:W3CDTF">2009-09-14T15:47:43Z</dcterms:created>
  <dcterms:modified xsi:type="dcterms:W3CDTF">2016-05-19T00:15:34Z</dcterms:modified>
  <cp:category/>
</cp:coreProperties>
</file>